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PRESUPUESTO 2022\PLAN DE ACCIÓN\"/>
    </mc:Choice>
  </mc:AlternateContent>
  <xr:revisionPtr revIDLastSave="0" documentId="13_ncr:1_{E533EBBB-7EF4-4A42-A268-76AC0341FBFD}" xr6:coauthVersionLast="47" xr6:coauthVersionMax="47" xr10:uidLastSave="{00000000-0000-0000-0000-000000000000}"/>
  <bookViews>
    <workbookView showSheetTabs="0" xWindow="-110" yWindow="-110" windowWidth="19420" windowHeight="10420" xr2:uid="{00000000-000D-0000-FFFF-FFFF00000000}"/>
  </bookViews>
  <sheets>
    <sheet name="PA 2022" sheetId="14" r:id="rId1"/>
  </sheets>
  <definedNames>
    <definedName name="_xlnm._FilterDatabase" localSheetId="0" hidden="1">'PA 2022'!$A$8:$AG$27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9" i="14" l="1"/>
  <c r="Y14" i="14" l="1"/>
  <c r="AA14" i="14"/>
  <c r="X25" i="14"/>
  <c r="R26" i="14"/>
  <c r="R27" i="14" s="1"/>
  <c r="V27" i="14"/>
  <c r="U27" i="14"/>
  <c r="S27" i="14"/>
  <c r="AC19" i="14"/>
  <c r="W19" i="14"/>
  <c r="AD19" i="14" s="1"/>
  <c r="W24" i="14"/>
  <c r="AC23" i="14" l="1"/>
  <c r="W23" i="14"/>
  <c r="P23" i="14"/>
  <c r="R17" i="14"/>
  <c r="R16" i="14"/>
  <c r="V18" i="14"/>
  <c r="S18" i="14"/>
  <c r="R18" i="14"/>
  <c r="R14" i="14"/>
  <c r="R15" i="14"/>
  <c r="AD23" i="14" l="1"/>
  <c r="AC24" i="14"/>
  <c r="AC22" i="14"/>
  <c r="W22" i="14"/>
  <c r="P22" i="14"/>
  <c r="X27" i="14"/>
  <c r="AA27" i="14"/>
  <c r="AC14" i="14"/>
  <c r="W10" i="14"/>
  <c r="Z27" i="14"/>
  <c r="AB27" i="14"/>
  <c r="T27" i="14"/>
  <c r="AC26" i="14"/>
  <c r="W26" i="14"/>
  <c r="W27" i="14" s="1"/>
  <c r="AC13" i="14"/>
  <c r="W13" i="14"/>
  <c r="AC12" i="14"/>
  <c r="W12" i="14"/>
  <c r="AC11" i="14"/>
  <c r="W11" i="14"/>
  <c r="AC9" i="14"/>
  <c r="W9" i="14"/>
  <c r="A27" i="14"/>
  <c r="AC15" i="14"/>
  <c r="W25" i="14"/>
  <c r="W21" i="14"/>
  <c r="W20" i="14"/>
  <c r="W18" i="14"/>
  <c r="W17" i="14"/>
  <c r="W16" i="14"/>
  <c r="AD16" i="14" s="1"/>
  <c r="W15" i="14"/>
  <c r="W14" i="14"/>
  <c r="P18" i="14"/>
  <c r="P11" i="14"/>
  <c r="P12" i="14"/>
  <c r="P14" i="14"/>
  <c r="P15" i="14"/>
  <c r="P16" i="14"/>
  <c r="P17" i="14"/>
  <c r="P20" i="14"/>
  <c r="P21" i="14"/>
  <c r="P25" i="14"/>
  <c r="AC16" i="14"/>
  <c r="AC17" i="14"/>
  <c r="AC18" i="14"/>
  <c r="AC20" i="14"/>
  <c r="AD20" i="14" s="1"/>
  <c r="AC21" i="14"/>
  <c r="AC25" i="14"/>
  <c r="P9" i="14"/>
  <c r="I17" i="14"/>
  <c r="I16" i="14"/>
  <c r="I18" i="14"/>
  <c r="AE27" i="14"/>
  <c r="Y27" i="14" l="1"/>
  <c r="AD15" i="14"/>
  <c r="AD26" i="14"/>
  <c r="AD14" i="14"/>
  <c r="AD25" i="14"/>
  <c r="AD21" i="14"/>
  <c r="AD17" i="14"/>
  <c r="AD22" i="14"/>
  <c r="AD9" i="14"/>
  <c r="AD24" i="14"/>
  <c r="P27" i="14"/>
  <c r="AD11" i="14"/>
  <c r="AD18" i="14"/>
  <c r="AD12" i="14"/>
  <c r="AC27" i="14"/>
  <c r="AD2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tc={080478D6-4682-4F36-814E-1ED10A933A70}</author>
    <author>tc={6A9E5029-3FE2-48C8-9DAF-0BD825A59459}</author>
  </authors>
  <commentList>
    <comment ref="Y14" authorId="0" shapeId="0" xr:uid="{080478D6-4682-4F36-814E-1ED10A933A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  <comment ref="AA14" authorId="1" shapeId="0" xr:uid="{6A9E5029-3FE2-48C8-9DAF-0BD825A594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</commentList>
</comments>
</file>

<file path=xl/sharedStrings.xml><?xml version="1.0" encoding="utf-8"?>
<sst xmlns="http://schemas.openxmlformats.org/spreadsheetml/2006/main" count="205" uniqueCount="99">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</sst>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2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2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166" fontId="6" fillId="0" borderId="0" xfId="108" applyNumberFormat="1" applyFont="1" applyFill="1" applyBorder="1" applyAlignment="1">
      <alignment vertical="center" wrapText="1"/>
    </xf>
    <xf numFmtId="5" fontId="6" fillId="3" borderId="2" xfId="110" applyNumberFormat="1" applyFont="1" applyFill="1" applyBorder="1" applyAlignment="1">
      <alignment horizontal="right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6" fontId="6" fillId="0" borderId="2" xfId="108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8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5" fontId="0" fillId="4" borderId="2" xfId="108" applyNumberFormat="1" applyFont="1" applyFill="1" applyBorder="1" applyAlignment="1">
      <alignment horizontal="right" vertical="center" wrapText="1"/>
    </xf>
    <xf numFmtId="5" fontId="6" fillId="4" borderId="2" xfId="108" applyNumberFormat="1" applyFont="1" applyFill="1" applyBorder="1" applyAlignment="1">
      <alignment horizontal="righ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0F52C51E-B0C8-4D57-9C66-99128B6E9E11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0F52C51E-B0C8-4D57-9C66-99128B6E9E11}" id="{080478D6-4682-4F36-814E-1ED10A933A70}">
    <text>Revisar si la liberaciòn de saldo del logistico Juan Alexis Rey corresponde a esta meta.</text>
  </threadedComment>
  <threadedComment ref="AA14" dT="2022-07-04T22:54:27.02" personId="{0F52C51E-B0C8-4D57-9C66-99128B6E9E11}" id="{6A9E5029-3FE2-48C8-9DAF-0BD825A59459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O18" zoomScale="50" zoomScaleNormal="50" zoomScalePageLayoutView="70" workbookViewId="0">
      <selection activeCell="AC9" sqref="AC9:AC12"/>
    </sheetView>
  </sheetViews>
  <sheetFormatPr baseColWidth="10" defaultColWidth="11.25" defaultRowHeight="14"/>
  <cols>
    <col min="1" max="1" width="7.33203125" style="72" customWidth="1"/>
    <col min="2" max="3" width="25" style="72" customWidth="1"/>
    <col min="4" max="4" width="25.83203125" style="72" customWidth="1"/>
    <col min="5" max="5" width="48.25" style="72" customWidth="1"/>
    <col min="6" max="6" width="45.33203125" style="72" customWidth="1"/>
    <col min="7" max="7" width="16.75" style="72" customWidth="1"/>
    <col min="8" max="8" width="50.25" style="72" customWidth="1"/>
    <col min="9" max="9" width="43.75" style="72" customWidth="1"/>
    <col min="10" max="10" width="15.75" style="72" hidden="1" customWidth="1"/>
    <col min="11" max="11" width="16" style="72" hidden="1" customWidth="1"/>
    <col min="12" max="13" width="16" style="72" customWidth="1"/>
    <col min="14" max="14" width="14.83203125" style="72" customWidth="1"/>
    <col min="15" max="15" width="13.33203125" style="72" customWidth="1"/>
    <col min="16" max="16" width="11.25" style="72" customWidth="1"/>
    <col min="17" max="17" width="28" style="72" customWidth="1"/>
    <col min="18" max="18" width="20.83203125" style="72" customWidth="1"/>
    <col min="19" max="19" width="19.83203125" style="72" customWidth="1"/>
    <col min="20" max="20" width="16.83203125" style="72" customWidth="1"/>
    <col min="21" max="21" width="20.25" style="72" customWidth="1"/>
    <col min="22" max="22" width="18.83203125" style="72" customWidth="1"/>
    <col min="23" max="23" width="20.83203125" style="72" customWidth="1"/>
    <col min="24" max="28" width="17.25" style="72" customWidth="1"/>
    <col min="29" max="29" width="21.25" style="72" customWidth="1"/>
    <col min="30" max="30" width="14.58203125" style="72" customWidth="1"/>
    <col min="31" max="31" width="19.58203125" style="72" customWidth="1"/>
    <col min="32" max="32" width="15.33203125" style="72" customWidth="1"/>
    <col min="33" max="33" width="17.33203125" style="72" customWidth="1"/>
    <col min="34" max="16384" width="11.25" style="72"/>
  </cols>
  <sheetData>
    <row r="1" spans="1:33">
      <c r="A1" s="116"/>
      <c r="B1" s="119" t="s">
        <v>79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3" t="s">
        <v>82</v>
      </c>
      <c r="AF1" s="113"/>
      <c r="AG1" s="113"/>
    </row>
    <row r="2" spans="1:33">
      <c r="A2" s="116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4" t="s">
        <v>36</v>
      </c>
      <c r="AF2" s="114"/>
      <c r="AG2" s="114"/>
    </row>
    <row r="3" spans="1:33">
      <c r="A3" s="116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4" t="s">
        <v>33</v>
      </c>
      <c r="AF3" s="114"/>
      <c r="AG3" s="114"/>
    </row>
    <row r="4" spans="1:33">
      <c r="A4" s="116"/>
      <c r="B4" s="119"/>
      <c r="C4" s="119"/>
      <c r="D4" s="119"/>
      <c r="E4" s="119"/>
      <c r="F4" s="119"/>
      <c r="G4" s="119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14" t="s">
        <v>32</v>
      </c>
      <c r="AF4" s="114"/>
      <c r="AG4" s="114"/>
    </row>
    <row r="5" spans="1:33">
      <c r="A5" s="117" t="s">
        <v>30</v>
      </c>
      <c r="B5" s="117"/>
      <c r="C5" s="117"/>
      <c r="D5" s="121"/>
      <c r="E5" s="121"/>
      <c r="F5" s="121"/>
      <c r="G5" s="121"/>
      <c r="H5" s="73"/>
      <c r="I5" s="73"/>
      <c r="J5" s="73"/>
      <c r="K5" s="73"/>
      <c r="L5" s="73"/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</row>
    <row r="6" spans="1:33">
      <c r="A6" s="118" t="s">
        <v>31</v>
      </c>
      <c r="B6" s="118"/>
      <c r="C6" s="118"/>
      <c r="D6" s="121">
        <v>44742</v>
      </c>
      <c r="E6" s="121"/>
      <c r="F6" s="121"/>
      <c r="G6" s="121"/>
      <c r="H6" s="73"/>
      <c r="I6" s="73"/>
      <c r="J6" s="73"/>
      <c r="K6" s="73"/>
      <c r="L6" s="73"/>
      <c r="M6" s="73"/>
      <c r="N6" s="73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5"/>
    </row>
    <row r="7" spans="1:33" ht="15.65" customHeight="1">
      <c r="A7" s="37"/>
      <c r="B7" s="122" t="s">
        <v>10</v>
      </c>
      <c r="C7" s="122"/>
      <c r="D7" s="122"/>
      <c r="E7" s="122"/>
      <c r="F7" s="122"/>
      <c r="G7" s="123" t="s">
        <v>11</v>
      </c>
      <c r="H7" s="124"/>
      <c r="I7" s="124"/>
      <c r="J7" s="124"/>
      <c r="K7" s="124"/>
      <c r="L7" s="124"/>
      <c r="M7" s="125"/>
      <c r="N7" s="122" t="s">
        <v>25</v>
      </c>
      <c r="O7" s="122"/>
      <c r="P7" s="122"/>
      <c r="Q7" s="122" t="s">
        <v>23</v>
      </c>
      <c r="R7" s="122"/>
      <c r="S7" s="122"/>
      <c r="T7" s="122"/>
      <c r="U7" s="122"/>
      <c r="V7" s="122"/>
      <c r="W7" s="122"/>
      <c r="X7" s="122" t="s">
        <v>17</v>
      </c>
      <c r="Y7" s="122"/>
      <c r="Z7" s="122"/>
      <c r="AA7" s="122"/>
      <c r="AB7" s="122"/>
      <c r="AC7" s="122"/>
      <c r="AD7" s="115" t="s">
        <v>18</v>
      </c>
      <c r="AE7" s="115" t="s">
        <v>26</v>
      </c>
      <c r="AF7" s="115" t="s">
        <v>24</v>
      </c>
      <c r="AG7" s="115"/>
    </row>
    <row r="8" spans="1:33" ht="46.9" customHeight="1">
      <c r="A8" s="67" t="s">
        <v>29</v>
      </c>
      <c r="B8" s="66" t="s">
        <v>1</v>
      </c>
      <c r="C8" s="67" t="s">
        <v>6</v>
      </c>
      <c r="D8" s="67" t="s">
        <v>2</v>
      </c>
      <c r="E8" s="67" t="s">
        <v>7</v>
      </c>
      <c r="F8" s="66" t="s">
        <v>19</v>
      </c>
      <c r="G8" s="66" t="s">
        <v>81</v>
      </c>
      <c r="H8" s="66" t="s">
        <v>3</v>
      </c>
      <c r="I8" s="66" t="s">
        <v>15</v>
      </c>
      <c r="J8" s="66" t="s">
        <v>21</v>
      </c>
      <c r="K8" s="66" t="s">
        <v>22</v>
      </c>
      <c r="L8" s="66" t="s">
        <v>21</v>
      </c>
      <c r="M8" s="66" t="s">
        <v>22</v>
      </c>
      <c r="N8" s="66" t="s">
        <v>4</v>
      </c>
      <c r="O8" s="66" t="s">
        <v>5</v>
      </c>
      <c r="P8" s="66" t="s">
        <v>0</v>
      </c>
      <c r="Q8" s="67" t="s">
        <v>9</v>
      </c>
      <c r="R8" s="66" t="s">
        <v>35</v>
      </c>
      <c r="S8" s="66" t="s">
        <v>8</v>
      </c>
      <c r="T8" s="66" t="s">
        <v>27</v>
      </c>
      <c r="U8" s="66" t="s">
        <v>34</v>
      </c>
      <c r="V8" s="66" t="s">
        <v>12</v>
      </c>
      <c r="W8" s="66" t="s">
        <v>20</v>
      </c>
      <c r="X8" s="66" t="s">
        <v>35</v>
      </c>
      <c r="Y8" s="66" t="s">
        <v>8</v>
      </c>
      <c r="Z8" s="66" t="s">
        <v>27</v>
      </c>
      <c r="AA8" s="66" t="s">
        <v>34</v>
      </c>
      <c r="AB8" s="66" t="s">
        <v>12</v>
      </c>
      <c r="AC8" s="66" t="s">
        <v>28</v>
      </c>
      <c r="AD8" s="115"/>
      <c r="AE8" s="115"/>
      <c r="AF8" s="66" t="s">
        <v>13</v>
      </c>
      <c r="AG8" s="66" t="s">
        <v>14</v>
      </c>
    </row>
    <row r="9" spans="1:33" ht="69.75" customHeight="1">
      <c r="A9" s="105">
        <v>85</v>
      </c>
      <c r="B9" s="107" t="s">
        <v>37</v>
      </c>
      <c r="C9" s="107" t="s">
        <v>38</v>
      </c>
      <c r="D9" s="107" t="s">
        <v>39</v>
      </c>
      <c r="E9" s="93" t="s">
        <v>40</v>
      </c>
      <c r="F9" s="95" t="s">
        <v>41</v>
      </c>
      <c r="G9" s="97">
        <v>2020680010070</v>
      </c>
      <c r="H9" s="95" t="s">
        <v>42</v>
      </c>
      <c r="I9" s="109" t="s">
        <v>43</v>
      </c>
      <c r="J9" s="19" t="s">
        <v>80</v>
      </c>
      <c r="K9" s="20">
        <v>44926</v>
      </c>
      <c r="L9" s="85"/>
      <c r="M9" s="85"/>
      <c r="N9" s="111">
        <v>6</v>
      </c>
      <c r="O9" s="103">
        <v>6</v>
      </c>
      <c r="P9" s="91">
        <f t="shared" ref="P9:P25" si="0">IFERROR(IF(O9/N9&gt;100%,100%,O9/N9),"-")</f>
        <v>1</v>
      </c>
      <c r="Q9" s="22" t="s">
        <v>87</v>
      </c>
      <c r="R9" s="45">
        <v>1327629822</v>
      </c>
      <c r="S9" s="45"/>
      <c r="T9" s="45"/>
      <c r="U9" s="45"/>
      <c r="V9" s="45"/>
      <c r="W9" s="35">
        <f>SUM(R9:V9)</f>
        <v>1327629822</v>
      </c>
      <c r="X9" s="41">
        <f>825706330-12500000-5000000-7500000-6416667-5000000</f>
        <v>789289663</v>
      </c>
      <c r="Y9" s="46"/>
      <c r="Z9" s="47"/>
      <c r="AA9" s="47"/>
      <c r="AB9" s="42"/>
      <c r="AC9" s="23">
        <f t="shared" ref="AC9:AC15" si="1">SUM(X9:AB9)</f>
        <v>789289663</v>
      </c>
      <c r="AD9" s="48">
        <f>IFERROR(AC9/W9,"-")</f>
        <v>0.59451034461622687</v>
      </c>
      <c r="AE9" s="49"/>
      <c r="AF9" s="50" t="s">
        <v>44</v>
      </c>
      <c r="AG9" s="40" t="s">
        <v>83</v>
      </c>
    </row>
    <row r="10" spans="1:33" ht="16.5" customHeight="1">
      <c r="A10" s="106"/>
      <c r="B10" s="108"/>
      <c r="C10" s="108"/>
      <c r="D10" s="108"/>
      <c r="E10" s="94"/>
      <c r="F10" s="96"/>
      <c r="G10" s="98"/>
      <c r="H10" s="96"/>
      <c r="I10" s="110"/>
      <c r="J10" s="19"/>
      <c r="K10" s="20"/>
      <c r="L10" s="86"/>
      <c r="M10" s="86"/>
      <c r="N10" s="112"/>
      <c r="O10" s="104"/>
      <c r="P10" s="92"/>
      <c r="Q10" s="22" t="s">
        <v>94</v>
      </c>
      <c r="R10" s="45">
        <v>4065440</v>
      </c>
      <c r="S10" s="45">
        <v>40054910</v>
      </c>
      <c r="T10" s="76"/>
      <c r="U10" s="45"/>
      <c r="V10" s="45"/>
      <c r="W10" s="35">
        <f>SUM(R10:V10)</f>
        <v>44120350</v>
      </c>
      <c r="X10" s="41"/>
      <c r="Y10" s="46"/>
      <c r="Z10" s="47"/>
      <c r="AA10" s="47"/>
      <c r="AB10" s="42"/>
      <c r="AC10" s="23"/>
      <c r="AD10" s="48"/>
      <c r="AE10" s="49"/>
      <c r="AF10" s="50"/>
      <c r="AG10" s="40"/>
    </row>
    <row r="11" spans="1:33" ht="56">
      <c r="A11" s="67">
        <v>86</v>
      </c>
      <c r="B11" s="13" t="s">
        <v>37</v>
      </c>
      <c r="C11" s="13" t="s">
        <v>38</v>
      </c>
      <c r="D11" s="13" t="s">
        <v>39</v>
      </c>
      <c r="E11" s="14" t="s">
        <v>45</v>
      </c>
      <c r="F11" s="15" t="s">
        <v>46</v>
      </c>
      <c r="G11" s="16">
        <v>2020680010070</v>
      </c>
      <c r="H11" s="17" t="s">
        <v>42</v>
      </c>
      <c r="I11" s="18" t="s">
        <v>45</v>
      </c>
      <c r="J11" s="19" t="s">
        <v>80</v>
      </c>
      <c r="K11" s="20">
        <v>44926</v>
      </c>
      <c r="L11" s="20"/>
      <c r="M11" s="20"/>
      <c r="N11" s="36">
        <v>2500</v>
      </c>
      <c r="O11" s="10">
        <v>390</v>
      </c>
      <c r="P11" s="21">
        <f t="shared" si="0"/>
        <v>0.156</v>
      </c>
      <c r="Q11" s="26" t="s">
        <v>86</v>
      </c>
      <c r="R11" s="45">
        <v>104700000</v>
      </c>
      <c r="S11" s="45"/>
      <c r="T11" s="45"/>
      <c r="U11" s="45"/>
      <c r="V11" s="45"/>
      <c r="W11" s="35">
        <f>SUM(R11:V11)</f>
        <v>104700000</v>
      </c>
      <c r="X11" s="41">
        <v>39600000</v>
      </c>
      <c r="Y11" s="51"/>
      <c r="Z11" s="42"/>
      <c r="AA11" s="42"/>
      <c r="AB11" s="42"/>
      <c r="AC11" s="23">
        <f t="shared" si="1"/>
        <v>39600000</v>
      </c>
      <c r="AD11" s="48">
        <f>IFERROR(AC11/W11,"-")</f>
        <v>0.37822349570200575</v>
      </c>
      <c r="AE11" s="49"/>
      <c r="AF11" s="50" t="s">
        <v>44</v>
      </c>
      <c r="AG11" s="40" t="s">
        <v>83</v>
      </c>
    </row>
    <row r="12" spans="1:33" ht="38.25" customHeight="1">
      <c r="A12" s="105">
        <v>87</v>
      </c>
      <c r="B12" s="107" t="s">
        <v>37</v>
      </c>
      <c r="C12" s="107" t="s">
        <v>38</v>
      </c>
      <c r="D12" s="107" t="s">
        <v>39</v>
      </c>
      <c r="E12" s="93" t="s">
        <v>47</v>
      </c>
      <c r="F12" s="95" t="s">
        <v>48</v>
      </c>
      <c r="G12" s="97">
        <v>2020680010070</v>
      </c>
      <c r="H12" s="95" t="s">
        <v>42</v>
      </c>
      <c r="I12" s="109" t="s">
        <v>49</v>
      </c>
      <c r="J12" s="19" t="s">
        <v>80</v>
      </c>
      <c r="K12" s="20">
        <v>44926</v>
      </c>
      <c r="L12" s="85"/>
      <c r="M12" s="85"/>
      <c r="N12" s="87">
        <v>2</v>
      </c>
      <c r="O12" s="103">
        <v>2</v>
      </c>
      <c r="P12" s="91">
        <f t="shared" si="0"/>
        <v>1</v>
      </c>
      <c r="Q12" s="22" t="s">
        <v>85</v>
      </c>
      <c r="R12" s="45">
        <v>45600000</v>
      </c>
      <c r="S12" s="45">
        <v>239000000</v>
      </c>
      <c r="T12" s="45"/>
      <c r="U12" s="45"/>
      <c r="V12" s="45"/>
      <c r="W12" s="35">
        <f>SUM(R12:V12)</f>
        <v>284600000</v>
      </c>
      <c r="X12" s="41">
        <v>28800000</v>
      </c>
      <c r="Y12" s="51"/>
      <c r="Z12" s="42"/>
      <c r="AA12" s="42"/>
      <c r="AB12" s="42"/>
      <c r="AC12" s="23">
        <f t="shared" si="1"/>
        <v>28800000</v>
      </c>
      <c r="AD12" s="48">
        <f>IFERROR(AC12/W12,"-")</f>
        <v>0.10119465917076599</v>
      </c>
      <c r="AE12" s="49"/>
      <c r="AF12" s="50" t="s">
        <v>44</v>
      </c>
      <c r="AG12" s="40" t="s">
        <v>83</v>
      </c>
    </row>
    <row r="13" spans="1:33" ht="37.5" customHeight="1">
      <c r="A13" s="106"/>
      <c r="B13" s="108"/>
      <c r="C13" s="108"/>
      <c r="D13" s="108"/>
      <c r="E13" s="94"/>
      <c r="F13" s="96"/>
      <c r="G13" s="98"/>
      <c r="H13" s="96"/>
      <c r="I13" s="110"/>
      <c r="J13" s="19"/>
      <c r="K13" s="20"/>
      <c r="L13" s="86"/>
      <c r="M13" s="86"/>
      <c r="N13" s="88"/>
      <c r="O13" s="104"/>
      <c r="P13" s="92"/>
      <c r="Q13" s="22" t="s">
        <v>94</v>
      </c>
      <c r="R13" s="76"/>
      <c r="S13" s="45"/>
      <c r="T13" s="45"/>
      <c r="U13" s="45"/>
      <c r="V13" s="45"/>
      <c r="W13" s="35">
        <f>SUM(R13:V13)</f>
        <v>0</v>
      </c>
      <c r="X13" s="41"/>
      <c r="Y13" s="51"/>
      <c r="Z13" s="42"/>
      <c r="AA13" s="42"/>
      <c r="AB13" s="42"/>
      <c r="AC13" s="23">
        <f t="shared" si="1"/>
        <v>0</v>
      </c>
      <c r="AD13" s="48"/>
      <c r="AE13" s="49"/>
      <c r="AF13" s="50" t="s">
        <v>44</v>
      </c>
      <c r="AG13" s="40" t="s">
        <v>83</v>
      </c>
    </row>
    <row r="14" spans="1:33" ht="63" customHeight="1">
      <c r="A14" s="64">
        <v>124</v>
      </c>
      <c r="B14" s="9" t="s">
        <v>37</v>
      </c>
      <c r="C14" s="9" t="s">
        <v>50</v>
      </c>
      <c r="D14" s="60" t="s">
        <v>51</v>
      </c>
      <c r="E14" s="57" t="s">
        <v>52</v>
      </c>
      <c r="F14" s="58" t="s">
        <v>53</v>
      </c>
      <c r="G14" s="59">
        <v>2020680010082</v>
      </c>
      <c r="H14" s="58" t="s">
        <v>54</v>
      </c>
      <c r="I14" s="62" t="s">
        <v>55</v>
      </c>
      <c r="J14" s="19" t="s">
        <v>80</v>
      </c>
      <c r="K14" s="20">
        <v>44926</v>
      </c>
      <c r="L14" s="54"/>
      <c r="M14" s="54"/>
      <c r="N14" s="63">
        <v>125</v>
      </c>
      <c r="O14" s="61">
        <v>38</v>
      </c>
      <c r="P14" s="56">
        <f t="shared" si="0"/>
        <v>0.30399999999999999</v>
      </c>
      <c r="Q14" s="26" t="s">
        <v>89</v>
      </c>
      <c r="R14" s="45">
        <f>65704950+682104950</f>
        <v>747809900</v>
      </c>
      <c r="S14" s="45">
        <v>380895318</v>
      </c>
      <c r="T14" s="45"/>
      <c r="U14" s="45">
        <v>150000000</v>
      </c>
      <c r="V14" s="45">
        <v>150000000</v>
      </c>
      <c r="W14" s="35">
        <f t="shared" ref="W14:W25" si="2">SUM(R14:V14)</f>
        <v>1428705218</v>
      </c>
      <c r="X14" s="41">
        <v>64000000</v>
      </c>
      <c r="Y14" s="131">
        <f>352560000-3866667</f>
        <v>348693333</v>
      </c>
      <c r="Z14" s="42"/>
      <c r="AA14" s="130">
        <f>78040000-1960000</f>
        <v>76080000</v>
      </c>
      <c r="AB14" s="25"/>
      <c r="AC14" s="23">
        <f t="shared" si="1"/>
        <v>488773333</v>
      </c>
      <c r="AD14" s="11">
        <f>IFERROR(AC14/W14,"-")</f>
        <v>0.34210929367516318</v>
      </c>
      <c r="AE14" s="27"/>
      <c r="AF14" s="38" t="s">
        <v>44</v>
      </c>
      <c r="AG14" s="40" t="s">
        <v>83</v>
      </c>
    </row>
    <row r="15" spans="1:33" ht="51" customHeight="1">
      <c r="A15" s="64">
        <v>125</v>
      </c>
      <c r="B15" s="60" t="s">
        <v>37</v>
      </c>
      <c r="C15" s="60" t="s">
        <v>50</v>
      </c>
      <c r="D15" s="60" t="s">
        <v>51</v>
      </c>
      <c r="E15" s="57" t="s">
        <v>56</v>
      </c>
      <c r="F15" s="58" t="s">
        <v>57</v>
      </c>
      <c r="G15" s="59">
        <v>2020680010082</v>
      </c>
      <c r="H15" s="58" t="s">
        <v>54</v>
      </c>
      <c r="I15" s="62" t="s">
        <v>56</v>
      </c>
      <c r="J15" s="19" t="s">
        <v>80</v>
      </c>
      <c r="K15" s="20">
        <v>44926</v>
      </c>
      <c r="L15" s="54"/>
      <c r="M15" s="54"/>
      <c r="N15" s="63">
        <v>104</v>
      </c>
      <c r="O15" s="61">
        <v>103</v>
      </c>
      <c r="P15" s="56">
        <f t="shared" si="0"/>
        <v>0.99038461538461542</v>
      </c>
      <c r="Q15" s="28" t="s">
        <v>88</v>
      </c>
      <c r="R15" s="45">
        <f>350000000+428539063</f>
        <v>778539063</v>
      </c>
      <c r="S15" s="45">
        <v>258900449</v>
      </c>
      <c r="T15" s="45"/>
      <c r="U15" s="45">
        <v>150000000</v>
      </c>
      <c r="V15" s="45"/>
      <c r="W15" s="35">
        <f t="shared" si="2"/>
        <v>1187439512</v>
      </c>
      <c r="X15" s="41">
        <v>313000000</v>
      </c>
      <c r="Y15" s="41"/>
      <c r="Z15" s="43"/>
      <c r="AA15" s="44">
        <v>62000000</v>
      </c>
      <c r="AB15" s="24"/>
      <c r="AC15" s="23">
        <f t="shared" si="1"/>
        <v>375000000</v>
      </c>
      <c r="AD15" s="11">
        <f>IFERROR(AC15/W15,"-")</f>
        <v>0.31580555995512466</v>
      </c>
      <c r="AE15" s="27"/>
      <c r="AF15" s="38" t="s">
        <v>44</v>
      </c>
      <c r="AG15" s="40" t="s">
        <v>83</v>
      </c>
    </row>
    <row r="16" spans="1:33" ht="37.5" customHeight="1">
      <c r="A16" s="64">
        <v>126</v>
      </c>
      <c r="B16" s="60" t="s">
        <v>37</v>
      </c>
      <c r="C16" s="60" t="s">
        <v>50</v>
      </c>
      <c r="D16" s="60" t="s">
        <v>51</v>
      </c>
      <c r="E16" s="57" t="s">
        <v>58</v>
      </c>
      <c r="F16" s="58" t="s">
        <v>59</v>
      </c>
      <c r="G16" s="59">
        <v>2020680010104</v>
      </c>
      <c r="H16" s="58" t="s">
        <v>60</v>
      </c>
      <c r="I16" s="62" t="str">
        <f>E16</f>
        <v>Desarrollar 144 eventos recreativos y deportivos para las comunidades bumanguesas, incluidas las vacaciones creativas para infancia.</v>
      </c>
      <c r="J16" s="19" t="s">
        <v>80</v>
      </c>
      <c r="K16" s="20">
        <v>44926</v>
      </c>
      <c r="L16" s="54"/>
      <c r="M16" s="54"/>
      <c r="N16" s="63">
        <v>40</v>
      </c>
      <c r="O16" s="61">
        <v>22</v>
      </c>
      <c r="P16" s="56">
        <f t="shared" si="0"/>
        <v>0.55000000000000004</v>
      </c>
      <c r="Q16" s="26" t="s">
        <v>90</v>
      </c>
      <c r="R16" s="69">
        <f>244002156+281363174</f>
        <v>525365330</v>
      </c>
      <c r="S16" s="69">
        <v>44582533</v>
      </c>
      <c r="T16" s="69"/>
      <c r="U16" s="69"/>
      <c r="V16" s="69"/>
      <c r="W16" s="35">
        <f t="shared" si="2"/>
        <v>569947863</v>
      </c>
      <c r="X16" s="24">
        <v>225553813</v>
      </c>
      <c r="Y16" s="41"/>
      <c r="Z16" s="25"/>
      <c r="AA16" s="25"/>
      <c r="AB16" s="25"/>
      <c r="AC16" s="23">
        <f t="shared" ref="AC16:AC25" si="3">SUM(X16:AB16)</f>
        <v>225553813</v>
      </c>
      <c r="AD16" s="11">
        <f>IFERROR(AC16/W16,"-")</f>
        <v>0.39574464199719267</v>
      </c>
      <c r="AE16" s="29"/>
      <c r="AF16" s="38" t="s">
        <v>44</v>
      </c>
      <c r="AG16" s="40" t="s">
        <v>83</v>
      </c>
    </row>
    <row r="17" spans="1:33" ht="42" customHeight="1">
      <c r="A17" s="64">
        <v>127</v>
      </c>
      <c r="B17" s="60" t="s">
        <v>37</v>
      </c>
      <c r="C17" s="60" t="s">
        <v>50</v>
      </c>
      <c r="D17" s="60" t="s">
        <v>51</v>
      </c>
      <c r="E17" s="57" t="s">
        <v>61</v>
      </c>
      <c r="F17" s="58" t="s">
        <v>62</v>
      </c>
      <c r="G17" s="59">
        <v>2020680010104</v>
      </c>
      <c r="H17" s="58" t="s">
        <v>60</v>
      </c>
      <c r="I17" s="62" t="str">
        <f>E17</f>
        <v>Desarrollar 16 eventos deportivos y recreativos dirigido a población vulnerable: discapacidad, víctimas del conflicto interno armado y población carcelaria hombres y mujeres.</v>
      </c>
      <c r="J17" s="19" t="s">
        <v>80</v>
      </c>
      <c r="K17" s="20">
        <v>44926</v>
      </c>
      <c r="L17" s="54"/>
      <c r="M17" s="54"/>
      <c r="N17" s="63">
        <v>3</v>
      </c>
      <c r="O17" s="61">
        <v>1</v>
      </c>
      <c r="P17" s="56">
        <f t="shared" si="0"/>
        <v>0.33333333333333331</v>
      </c>
      <c r="Q17" s="26" t="s">
        <v>90</v>
      </c>
      <c r="R17" s="69">
        <f>200000000+200000000</f>
        <v>400000000</v>
      </c>
      <c r="S17" s="69"/>
      <c r="T17" s="69"/>
      <c r="U17" s="69"/>
      <c r="V17" s="69"/>
      <c r="W17" s="35">
        <f t="shared" si="2"/>
        <v>400000000</v>
      </c>
      <c r="X17" s="41">
        <v>100000000</v>
      </c>
      <c r="Y17" s="41"/>
      <c r="Z17" s="25"/>
      <c r="AA17" s="25"/>
      <c r="AB17" s="25"/>
      <c r="AC17" s="23">
        <f t="shared" si="3"/>
        <v>100000000</v>
      </c>
      <c r="AD17" s="11">
        <f>IFERROR(AC17/W17,"-")</f>
        <v>0.25</v>
      </c>
      <c r="AE17" s="27"/>
      <c r="AF17" s="38" t="s">
        <v>44</v>
      </c>
      <c r="AG17" s="40" t="s">
        <v>83</v>
      </c>
    </row>
    <row r="18" spans="1:33" ht="80.25" customHeight="1">
      <c r="A18" s="64">
        <v>128</v>
      </c>
      <c r="B18" s="99" t="s">
        <v>37</v>
      </c>
      <c r="C18" s="99" t="s">
        <v>50</v>
      </c>
      <c r="D18" s="99" t="s">
        <v>63</v>
      </c>
      <c r="E18" s="93" t="s">
        <v>64</v>
      </c>
      <c r="F18" s="95" t="s">
        <v>65</v>
      </c>
      <c r="G18" s="97">
        <v>2020680010066</v>
      </c>
      <c r="H18" s="95" t="s">
        <v>66</v>
      </c>
      <c r="I18" s="126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19" t="s">
        <v>80</v>
      </c>
      <c r="K18" s="20">
        <v>44926</v>
      </c>
      <c r="L18" s="54"/>
      <c r="M18" s="54"/>
      <c r="N18" s="111">
        <v>11000</v>
      </c>
      <c r="O18" s="128">
        <v>13743</v>
      </c>
      <c r="P18" s="91">
        <f>IFERROR(IF(O18/N18&gt;100%,100%,O18/N18),"-")</f>
        <v>1</v>
      </c>
      <c r="Q18" s="26" t="s">
        <v>91</v>
      </c>
      <c r="R18" s="45">
        <f>789430000+378531154.96</f>
        <v>1167961154.96</v>
      </c>
      <c r="S18" s="45">
        <f>1444624460+46687824.04</f>
        <v>1491312284.04</v>
      </c>
      <c r="T18" s="45"/>
      <c r="U18" s="45">
        <v>300000000</v>
      </c>
      <c r="V18" s="45">
        <f>191142000+286750984.38</f>
        <v>477892984.38</v>
      </c>
      <c r="W18" s="35">
        <f t="shared" si="2"/>
        <v>3437166423.3800001</v>
      </c>
      <c r="X18" s="53">
        <v>497796500</v>
      </c>
      <c r="Y18" s="53">
        <v>955794460</v>
      </c>
      <c r="Z18" s="30"/>
      <c r="AA18" s="30"/>
      <c r="AB18" s="30"/>
      <c r="AC18" s="23">
        <f t="shared" si="3"/>
        <v>1453590960</v>
      </c>
      <c r="AD18" s="11">
        <f>IFERROR(AC18/W18,"-")</f>
        <v>0.42290386351749149</v>
      </c>
      <c r="AE18" s="31"/>
      <c r="AF18" s="39" t="s">
        <v>44</v>
      </c>
      <c r="AG18" s="40" t="s">
        <v>83</v>
      </c>
    </row>
    <row r="19" spans="1:33" ht="35" customHeight="1">
      <c r="A19" s="70">
        <v>128</v>
      </c>
      <c r="B19" s="100"/>
      <c r="C19" s="100"/>
      <c r="D19" s="100"/>
      <c r="E19" s="94"/>
      <c r="F19" s="96"/>
      <c r="G19" s="98"/>
      <c r="H19" s="96"/>
      <c r="I19" s="127"/>
      <c r="J19" s="19" t="s">
        <v>80</v>
      </c>
      <c r="K19" s="20">
        <v>44926</v>
      </c>
      <c r="L19" s="71"/>
      <c r="M19" s="71"/>
      <c r="N19" s="112"/>
      <c r="O19" s="129"/>
      <c r="P19" s="92"/>
      <c r="Q19" s="26" t="s">
        <v>94</v>
      </c>
      <c r="R19" s="45">
        <v>329000000</v>
      </c>
      <c r="S19" s="45"/>
      <c r="T19" s="45"/>
      <c r="U19" s="45"/>
      <c r="V19" s="45"/>
      <c r="W19" s="35">
        <f t="shared" ref="W19" si="4">SUM(R19:V19)</f>
        <v>329000000</v>
      </c>
      <c r="X19" s="53"/>
      <c r="Y19" s="53"/>
      <c r="Z19" s="30"/>
      <c r="AA19" s="30"/>
      <c r="AB19" s="30"/>
      <c r="AC19" s="23">
        <f t="shared" ref="AC19" si="5">SUM(X19:AB19)</f>
        <v>0</v>
      </c>
      <c r="AD19" s="11">
        <f>IFERROR(AC19/W19,"-")</f>
        <v>0</v>
      </c>
      <c r="AE19" s="31"/>
      <c r="AF19" s="39" t="s">
        <v>44</v>
      </c>
      <c r="AG19" s="40" t="s">
        <v>83</v>
      </c>
    </row>
    <row r="20" spans="1:33" ht="44.25" customHeight="1">
      <c r="A20" s="64">
        <v>129</v>
      </c>
      <c r="B20" s="60" t="s">
        <v>37</v>
      </c>
      <c r="C20" s="60" t="s">
        <v>50</v>
      </c>
      <c r="D20" s="60" t="s">
        <v>63</v>
      </c>
      <c r="E20" s="57" t="s">
        <v>67</v>
      </c>
      <c r="F20" s="58" t="s">
        <v>68</v>
      </c>
      <c r="G20" s="59">
        <v>2020680010118</v>
      </c>
      <c r="H20" s="58" t="s">
        <v>69</v>
      </c>
      <c r="I20" s="62" t="s">
        <v>70</v>
      </c>
      <c r="J20" s="19" t="s">
        <v>80</v>
      </c>
      <c r="K20" s="20">
        <v>44926</v>
      </c>
      <c r="L20" s="54"/>
      <c r="M20" s="54"/>
      <c r="N20" s="55">
        <v>200</v>
      </c>
      <c r="O20" s="61">
        <v>0</v>
      </c>
      <c r="P20" s="56">
        <f t="shared" si="0"/>
        <v>0</v>
      </c>
      <c r="Q20" s="32" t="s">
        <v>84</v>
      </c>
      <c r="R20" s="45">
        <v>0</v>
      </c>
      <c r="S20" s="45"/>
      <c r="T20" s="45"/>
      <c r="U20" s="45"/>
      <c r="V20" s="45"/>
      <c r="W20" s="35">
        <f t="shared" si="2"/>
        <v>0</v>
      </c>
      <c r="X20" s="41"/>
      <c r="Y20" s="41"/>
      <c r="Z20" s="24"/>
      <c r="AA20" s="24"/>
      <c r="AB20" s="24"/>
      <c r="AC20" s="23">
        <f t="shared" si="3"/>
        <v>0</v>
      </c>
      <c r="AD20" s="11" t="str">
        <f t="shared" ref="AD20:AD27" si="6">IFERROR(AC20/W20,"-")</f>
        <v>-</v>
      </c>
      <c r="AE20" s="77"/>
      <c r="AF20" s="39" t="s">
        <v>44</v>
      </c>
      <c r="AG20" s="40" t="s">
        <v>83</v>
      </c>
    </row>
    <row r="21" spans="1:33" ht="53.25" customHeight="1">
      <c r="A21" s="64">
        <v>130</v>
      </c>
      <c r="B21" s="60" t="s">
        <v>37</v>
      </c>
      <c r="C21" s="60" t="s">
        <v>50</v>
      </c>
      <c r="D21" s="60" t="s">
        <v>63</v>
      </c>
      <c r="E21" s="57" t="s">
        <v>71</v>
      </c>
      <c r="F21" s="58" t="s">
        <v>72</v>
      </c>
      <c r="G21" s="68">
        <v>2020680010118</v>
      </c>
      <c r="H21" s="58" t="s">
        <v>69</v>
      </c>
      <c r="I21" s="60" t="s">
        <v>73</v>
      </c>
      <c r="J21" s="19" t="s">
        <v>80</v>
      </c>
      <c r="K21" s="20">
        <v>44926</v>
      </c>
      <c r="L21" s="54"/>
      <c r="M21" s="54"/>
      <c r="N21" s="55">
        <v>25</v>
      </c>
      <c r="O21" s="61">
        <v>1</v>
      </c>
      <c r="P21" s="56">
        <f t="shared" si="0"/>
        <v>0.04</v>
      </c>
      <c r="Q21" s="33" t="s">
        <v>92</v>
      </c>
      <c r="R21" s="41">
        <v>92950000</v>
      </c>
      <c r="S21" s="41"/>
      <c r="T21" s="24"/>
      <c r="U21" s="24"/>
      <c r="V21" s="24">
        <v>1842100</v>
      </c>
      <c r="W21" s="35">
        <f t="shared" si="2"/>
        <v>94792100</v>
      </c>
      <c r="X21" s="41">
        <v>92950000</v>
      </c>
      <c r="Y21" s="41"/>
      <c r="Z21" s="24"/>
      <c r="AA21" s="24"/>
      <c r="AB21" s="24">
        <v>1842100</v>
      </c>
      <c r="AC21" s="23">
        <f t="shared" si="3"/>
        <v>94792100</v>
      </c>
      <c r="AD21" s="11">
        <f t="shared" si="6"/>
        <v>1</v>
      </c>
      <c r="AE21" s="77"/>
      <c r="AF21" s="39" t="s">
        <v>44</v>
      </c>
      <c r="AG21" s="40" t="s">
        <v>83</v>
      </c>
    </row>
    <row r="22" spans="1:33" ht="40.5" customHeight="1">
      <c r="A22" s="64">
        <v>129</v>
      </c>
      <c r="B22" s="60" t="s">
        <v>37</v>
      </c>
      <c r="C22" s="60" t="s">
        <v>50</v>
      </c>
      <c r="D22" s="60" t="s">
        <v>63</v>
      </c>
      <c r="E22" s="57" t="s">
        <v>67</v>
      </c>
      <c r="F22" s="58" t="s">
        <v>68</v>
      </c>
      <c r="G22" s="78" t="s">
        <v>95</v>
      </c>
      <c r="H22" s="58" t="s">
        <v>96</v>
      </c>
      <c r="I22" s="62" t="s">
        <v>70</v>
      </c>
      <c r="J22" s="19" t="s">
        <v>80</v>
      </c>
      <c r="K22" s="20">
        <v>44926</v>
      </c>
      <c r="L22" s="54"/>
      <c r="M22" s="54"/>
      <c r="N22" s="55">
        <v>200</v>
      </c>
      <c r="O22" s="61">
        <v>0</v>
      </c>
      <c r="P22" s="56">
        <f>IFERROR(IF(O22/N22&gt;100%,100%,O22/N22),"-")</f>
        <v>0</v>
      </c>
      <c r="Q22" s="32" t="s">
        <v>98</v>
      </c>
      <c r="R22" s="69">
        <v>60000000</v>
      </c>
      <c r="S22" s="69"/>
      <c r="T22" s="69"/>
      <c r="U22" s="69"/>
      <c r="V22" s="69"/>
      <c r="W22" s="35">
        <f>SUM(R22:V22)</f>
        <v>60000000</v>
      </c>
      <c r="X22" s="41"/>
      <c r="Y22" s="41"/>
      <c r="Z22" s="24"/>
      <c r="AA22" s="24"/>
      <c r="AB22" s="24"/>
      <c r="AC22" s="23">
        <f>SUM(X22:AB22)</f>
        <v>0</v>
      </c>
      <c r="AD22" s="11">
        <f>IFERROR(AC22/W22,"-")</f>
        <v>0</v>
      </c>
      <c r="AE22" s="77"/>
      <c r="AF22" s="39" t="s">
        <v>44</v>
      </c>
      <c r="AG22" s="40" t="s">
        <v>83</v>
      </c>
    </row>
    <row r="23" spans="1:33" ht="61.5" customHeight="1">
      <c r="A23" s="105">
        <v>130</v>
      </c>
      <c r="B23" s="99" t="s">
        <v>37</v>
      </c>
      <c r="C23" s="99" t="s">
        <v>50</v>
      </c>
      <c r="D23" s="99" t="s">
        <v>63</v>
      </c>
      <c r="E23" s="93" t="s">
        <v>71</v>
      </c>
      <c r="F23" s="95" t="s">
        <v>72</v>
      </c>
      <c r="G23" s="101" t="s">
        <v>95</v>
      </c>
      <c r="H23" s="95" t="s">
        <v>96</v>
      </c>
      <c r="I23" s="99" t="s">
        <v>73</v>
      </c>
      <c r="J23" s="19" t="s">
        <v>80</v>
      </c>
      <c r="K23" s="20">
        <v>44926</v>
      </c>
      <c r="L23" s="85"/>
      <c r="M23" s="85"/>
      <c r="N23" s="87">
        <v>25</v>
      </c>
      <c r="O23" s="103">
        <v>0</v>
      </c>
      <c r="P23" s="91">
        <f>IFERROR(IF(O23/N23&gt;100%,100%,O23/N23),"-")</f>
        <v>0</v>
      </c>
      <c r="Q23" s="33" t="s">
        <v>97</v>
      </c>
      <c r="R23" s="69">
        <v>2017636010</v>
      </c>
      <c r="S23" s="69">
        <v>49572878.489999995</v>
      </c>
      <c r="T23" s="69"/>
      <c r="U23" s="69"/>
      <c r="V23" s="69">
        <v>5397900</v>
      </c>
      <c r="W23" s="35">
        <f>SUM(R23:V23)</f>
        <v>2072606788.49</v>
      </c>
      <c r="X23" s="41"/>
      <c r="Y23" s="41"/>
      <c r="Z23" s="24"/>
      <c r="AA23" s="24"/>
      <c r="AB23" s="24"/>
      <c r="AC23" s="23">
        <f>SUM(X23:AB23)</f>
        <v>0</v>
      </c>
      <c r="AD23" s="11">
        <f>IFERROR(AC23/W23,"-")</f>
        <v>0</v>
      </c>
      <c r="AE23" s="77"/>
      <c r="AF23" s="39" t="s">
        <v>44</v>
      </c>
      <c r="AG23" s="40" t="s">
        <v>83</v>
      </c>
    </row>
    <row r="24" spans="1:33" ht="31.5" customHeight="1">
      <c r="A24" s="106"/>
      <c r="B24" s="100"/>
      <c r="C24" s="100"/>
      <c r="D24" s="100"/>
      <c r="E24" s="94"/>
      <c r="F24" s="96"/>
      <c r="G24" s="102"/>
      <c r="H24" s="96"/>
      <c r="I24" s="100"/>
      <c r="J24" s="19" t="s">
        <v>80</v>
      </c>
      <c r="K24" s="20">
        <v>44926</v>
      </c>
      <c r="L24" s="86"/>
      <c r="M24" s="86"/>
      <c r="N24" s="88"/>
      <c r="O24" s="104"/>
      <c r="P24" s="92"/>
      <c r="Q24" s="33" t="s">
        <v>94</v>
      </c>
      <c r="R24" s="69">
        <v>1171000000</v>
      </c>
      <c r="S24" s="69">
        <v>74299245</v>
      </c>
      <c r="T24" s="69"/>
      <c r="U24" s="69"/>
      <c r="V24" s="69"/>
      <c r="W24" s="35">
        <f>SUM(R24:V24)</f>
        <v>1245299245</v>
      </c>
      <c r="X24" s="41"/>
      <c r="Y24" s="41"/>
      <c r="Z24" s="24"/>
      <c r="AA24" s="24"/>
      <c r="AB24" s="24"/>
      <c r="AC24" s="23">
        <f>SUM(X24:AB24)</f>
        <v>0</v>
      </c>
      <c r="AD24" s="11">
        <f>IFERROR(AC24/W24,"-")</f>
        <v>0</v>
      </c>
      <c r="AE24" s="77"/>
      <c r="AF24" s="39" t="s">
        <v>44</v>
      </c>
      <c r="AG24" s="40" t="s">
        <v>83</v>
      </c>
    </row>
    <row r="25" spans="1:33" ht="76.5" customHeight="1">
      <c r="A25" s="105">
        <v>131</v>
      </c>
      <c r="B25" s="99" t="s">
        <v>37</v>
      </c>
      <c r="C25" s="99" t="s">
        <v>50</v>
      </c>
      <c r="D25" s="99" t="s">
        <v>74</v>
      </c>
      <c r="E25" s="93" t="s">
        <v>75</v>
      </c>
      <c r="F25" s="95" t="s">
        <v>76</v>
      </c>
      <c r="G25" s="97">
        <v>2020680010057</v>
      </c>
      <c r="H25" s="95" t="s">
        <v>77</v>
      </c>
      <c r="I25" s="99" t="s">
        <v>78</v>
      </c>
      <c r="J25" s="19" t="s">
        <v>80</v>
      </c>
      <c r="K25" s="20">
        <v>44926</v>
      </c>
      <c r="L25" s="85"/>
      <c r="M25" s="85"/>
      <c r="N25" s="87">
        <v>30</v>
      </c>
      <c r="O25" s="89">
        <v>23</v>
      </c>
      <c r="P25" s="91">
        <f t="shared" si="0"/>
        <v>0.76666666666666672</v>
      </c>
      <c r="Q25" s="32" t="s">
        <v>93</v>
      </c>
      <c r="R25" s="45">
        <v>1779982082</v>
      </c>
      <c r="S25" s="45"/>
      <c r="T25" s="45"/>
      <c r="U25" s="45">
        <v>26975000</v>
      </c>
      <c r="V25" s="45">
        <v>25248359</v>
      </c>
      <c r="W25" s="35">
        <f t="shared" si="2"/>
        <v>1832205441</v>
      </c>
      <c r="X25" s="41">
        <f>1796052371-24000000</f>
        <v>1772052371</v>
      </c>
      <c r="Y25" s="41"/>
      <c r="Z25" s="24"/>
      <c r="AA25" s="24"/>
      <c r="AB25" s="24"/>
      <c r="AC25" s="23">
        <f t="shared" si="3"/>
        <v>1772052371</v>
      </c>
      <c r="AD25" s="11">
        <f t="shared" si="6"/>
        <v>0.96716903647706176</v>
      </c>
      <c r="AE25" s="77"/>
      <c r="AF25" s="39" t="s">
        <v>44</v>
      </c>
      <c r="AG25" s="40" t="s">
        <v>83</v>
      </c>
    </row>
    <row r="26" spans="1:33" ht="39" customHeight="1">
      <c r="A26" s="106"/>
      <c r="B26" s="100"/>
      <c r="C26" s="100"/>
      <c r="D26" s="100"/>
      <c r="E26" s="94"/>
      <c r="F26" s="96"/>
      <c r="G26" s="98"/>
      <c r="H26" s="96"/>
      <c r="I26" s="100"/>
      <c r="J26" s="19" t="s">
        <v>80</v>
      </c>
      <c r="K26" s="20">
        <v>44926</v>
      </c>
      <c r="L26" s="86"/>
      <c r="M26" s="86"/>
      <c r="N26" s="88"/>
      <c r="O26" s="90"/>
      <c r="P26" s="92"/>
      <c r="Q26" s="22" t="s">
        <v>94</v>
      </c>
      <c r="R26" s="45">
        <f>2020388010.08+200000000</f>
        <v>2220388010.0799999</v>
      </c>
      <c r="S26" s="45">
        <v>241338467.62</v>
      </c>
      <c r="T26" s="45"/>
      <c r="U26" s="45">
        <v>83981335.5</v>
      </c>
      <c r="V26" s="45">
        <v>6918850.3399999999</v>
      </c>
      <c r="W26" s="35">
        <f>SUM(R26:V26)</f>
        <v>2552626663.54</v>
      </c>
      <c r="X26" s="41"/>
      <c r="Y26" s="41"/>
      <c r="Z26" s="24"/>
      <c r="AA26" s="24"/>
      <c r="AB26" s="24"/>
      <c r="AC26" s="23">
        <f>SUM(X26:AB26)</f>
        <v>0</v>
      </c>
      <c r="AD26" s="11">
        <f t="shared" si="6"/>
        <v>0</v>
      </c>
      <c r="AE26" s="77"/>
      <c r="AF26" s="39" t="s">
        <v>44</v>
      </c>
      <c r="AG26" s="40" t="s">
        <v>83</v>
      </c>
    </row>
    <row r="27" spans="1:33">
      <c r="A27" s="65">
        <f>SUM(--(FREQUENCY(A9:A25,A9:A25)&gt;0))</f>
        <v>11</v>
      </c>
      <c r="B27" s="79"/>
      <c r="C27" s="80"/>
      <c r="D27" s="80"/>
      <c r="E27" s="80"/>
      <c r="F27" s="80"/>
      <c r="G27" s="80"/>
      <c r="H27" s="80"/>
      <c r="I27" s="80"/>
      <c r="J27" s="80"/>
      <c r="K27" s="5"/>
      <c r="L27" s="5"/>
      <c r="M27" s="5"/>
      <c r="N27" s="6"/>
      <c r="O27" s="4" t="s">
        <v>16</v>
      </c>
      <c r="P27" s="1">
        <f>IFERROR(AVERAGE(P9:P25),"-")</f>
        <v>0.47233727810650883</v>
      </c>
      <c r="Q27" s="2"/>
      <c r="R27" s="7">
        <f>SUM(R9:R26)</f>
        <v>12772626812.039999</v>
      </c>
      <c r="S27" s="7">
        <f>SUM(S9:S26)</f>
        <v>2819956085.1499996</v>
      </c>
      <c r="T27" s="7">
        <f t="shared" ref="R27:X27" si="7">SUM(T9:T26)</f>
        <v>0</v>
      </c>
      <c r="U27" s="7">
        <f>SUM(U9:U26)</f>
        <v>710956335.5</v>
      </c>
      <c r="V27" s="7">
        <f>SUM(V9:V26)</f>
        <v>667300193.72000003</v>
      </c>
      <c r="W27" s="3">
        <f>SUM(W9:W26)</f>
        <v>16970839426.41</v>
      </c>
      <c r="X27" s="7">
        <f t="shared" si="7"/>
        <v>3923042347</v>
      </c>
      <c r="Y27" s="7">
        <f>SUM(Y9:Y26)</f>
        <v>1304487793</v>
      </c>
      <c r="Z27" s="7">
        <f>SUM(Z9:Z26)</f>
        <v>0</v>
      </c>
      <c r="AA27" s="7">
        <f>SUM(AA9:AA26)</f>
        <v>138080000</v>
      </c>
      <c r="AB27" s="7">
        <f>SUM(AB9:AB26)</f>
        <v>1842100</v>
      </c>
      <c r="AC27" s="3">
        <f>SUM(AC9:AC26)</f>
        <v>5367452240</v>
      </c>
      <c r="AD27" s="8">
        <f t="shared" si="6"/>
        <v>0.31627500002428738</v>
      </c>
      <c r="AE27" s="3">
        <f>SUM(AE9:AE25)</f>
        <v>0</v>
      </c>
      <c r="AF27" s="2"/>
      <c r="AG27" s="2"/>
    </row>
    <row r="29" spans="1:33">
      <c r="R29" s="52"/>
      <c r="S29" s="81"/>
    </row>
    <row r="30" spans="1:33">
      <c r="R30" s="81"/>
      <c r="S30" s="81"/>
    </row>
    <row r="31" spans="1:33">
      <c r="F31" s="12"/>
      <c r="G31" s="12"/>
      <c r="R31" s="81"/>
      <c r="S31" s="81"/>
    </row>
    <row r="32" spans="1:33">
      <c r="F32" s="12"/>
      <c r="G32" s="12"/>
      <c r="R32" s="81"/>
      <c r="S32" s="81"/>
    </row>
    <row r="33" spans="6:23">
      <c r="F33" s="12"/>
      <c r="G33" s="12"/>
      <c r="R33" s="81"/>
      <c r="S33" s="81"/>
    </row>
    <row r="34" spans="6:23">
      <c r="F34" s="34"/>
      <c r="R34" s="81"/>
      <c r="S34" s="81"/>
    </row>
    <row r="35" spans="6:23">
      <c r="R35" s="81"/>
      <c r="S35" s="81"/>
      <c r="W35" s="82"/>
    </row>
    <row r="36" spans="6:23">
      <c r="R36" s="81"/>
      <c r="S36" s="81"/>
      <c r="T36" s="83"/>
    </row>
    <row r="38" spans="6:23">
      <c r="W38" s="82"/>
    </row>
    <row r="40" spans="6:23">
      <c r="W40" s="84"/>
    </row>
  </sheetData>
  <mergeCells count="85">
    <mergeCell ref="A23:A24"/>
    <mergeCell ref="B18:B19"/>
    <mergeCell ref="C18:C19"/>
    <mergeCell ref="D18:D19"/>
    <mergeCell ref="E18:E19"/>
    <mergeCell ref="X7:AC7"/>
    <mergeCell ref="G7:M7"/>
    <mergeCell ref="AD7:AD8"/>
    <mergeCell ref="F23:F24"/>
    <mergeCell ref="E23:E24"/>
    <mergeCell ref="F18:F19"/>
    <mergeCell ref="G18:G19"/>
    <mergeCell ref="H18:H19"/>
    <mergeCell ref="I18:I19"/>
    <mergeCell ref="N18:N19"/>
    <mergeCell ref="O18:O19"/>
    <mergeCell ref="P18:P19"/>
    <mergeCell ref="A25:A26"/>
    <mergeCell ref="AE1:AG1"/>
    <mergeCell ref="AE2:AG2"/>
    <mergeCell ref="AE3:AG3"/>
    <mergeCell ref="AE4:AG4"/>
    <mergeCell ref="AE7:AE8"/>
    <mergeCell ref="AF7:AG7"/>
    <mergeCell ref="A1:A4"/>
    <mergeCell ref="A5:C5"/>
    <mergeCell ref="A6:C6"/>
    <mergeCell ref="B1:AD4"/>
    <mergeCell ref="D6:G6"/>
    <mergeCell ref="D5:G5"/>
    <mergeCell ref="B7:F7"/>
    <mergeCell ref="N7:P7"/>
    <mergeCell ref="Q7:W7"/>
    <mergeCell ref="I9:I10"/>
    <mergeCell ref="B9:B10"/>
    <mergeCell ref="C9:C10"/>
    <mergeCell ref="D9:D10"/>
    <mergeCell ref="E9:E10"/>
    <mergeCell ref="F9:F10"/>
    <mergeCell ref="G9:G10"/>
    <mergeCell ref="H9:H10"/>
    <mergeCell ref="P9:P10"/>
    <mergeCell ref="O9:O10"/>
    <mergeCell ref="N9:N10"/>
    <mergeCell ref="M9:M10"/>
    <mergeCell ref="L9:L10"/>
    <mergeCell ref="P12:P13"/>
    <mergeCell ref="O12:O13"/>
    <mergeCell ref="N12:N13"/>
    <mergeCell ref="M12:M13"/>
    <mergeCell ref="L12:L13"/>
    <mergeCell ref="I12:I13"/>
    <mergeCell ref="H12:H13"/>
    <mergeCell ref="G12:G13"/>
    <mergeCell ref="F12:F13"/>
    <mergeCell ref="E12:E13"/>
    <mergeCell ref="A9:A10"/>
    <mergeCell ref="B12:B13"/>
    <mergeCell ref="C12:C13"/>
    <mergeCell ref="D12:D13"/>
    <mergeCell ref="A12:A13"/>
    <mergeCell ref="P23:P24"/>
    <mergeCell ref="O23:O24"/>
    <mergeCell ref="N23:N24"/>
    <mergeCell ref="M23:M24"/>
    <mergeCell ref="L23:L24"/>
    <mergeCell ref="I23:I24"/>
    <mergeCell ref="H23:H24"/>
    <mergeCell ref="G23:G24"/>
    <mergeCell ref="B25:B26"/>
    <mergeCell ref="C25:C26"/>
    <mergeCell ref="D25:D26"/>
    <mergeCell ref="D23:D24"/>
    <mergeCell ref="C23:C24"/>
    <mergeCell ref="B23:B24"/>
    <mergeCell ref="E25:E26"/>
    <mergeCell ref="F25:F26"/>
    <mergeCell ref="G25:G26"/>
    <mergeCell ref="H25:H26"/>
    <mergeCell ref="I25:I26"/>
    <mergeCell ref="L25:L26"/>
    <mergeCell ref="M25:M26"/>
    <mergeCell ref="N25:N26"/>
    <mergeCell ref="O25:O26"/>
    <mergeCell ref="P25:P26"/>
  </mergeCells>
  <conditionalFormatting sqref="P9 P25 P11:P12 P14:P18 P20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Alejandra</cp:lastModifiedBy>
  <cp:lastPrinted>2021-09-22T20:15:20Z</cp:lastPrinted>
  <dcterms:created xsi:type="dcterms:W3CDTF">2008-07-08T21:30:46Z</dcterms:created>
  <dcterms:modified xsi:type="dcterms:W3CDTF">2022-07-04T22:59:10Z</dcterms:modified>
</cp:coreProperties>
</file>