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ownloads/"/>
    </mc:Choice>
  </mc:AlternateContent>
  <xr:revisionPtr revIDLastSave="0" documentId="13_ncr:1_{DC831CE4-771E-B54D-97BC-36C6E2DE9045}" xr6:coauthVersionLast="47" xr6:coauthVersionMax="47" xr10:uidLastSave="{00000000-0000-0000-0000-000000000000}"/>
  <bookViews>
    <workbookView xWindow="0" yWindow="460" windowWidth="27320" windowHeight="139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2" l="1"/>
  <c r="AC19" i="2"/>
  <c r="S19" i="2"/>
  <c r="AI19" i="2"/>
  <c r="AF19" i="2"/>
  <c r="AW19" i="2"/>
  <c r="AV19" i="2"/>
  <c r="AW12" i="1" l="1"/>
  <c r="AW13" i="1"/>
  <c r="AW14" i="1"/>
  <c r="AW15" i="1"/>
  <c r="AW16" i="1"/>
  <c r="AW17" i="1"/>
  <c r="AW18" i="1"/>
  <c r="AW11" i="1"/>
  <c r="AV12" i="1"/>
  <c r="AV13" i="1"/>
  <c r="AV14" i="1"/>
  <c r="AV15" i="1"/>
  <c r="AV16" i="1"/>
  <c r="AV17" i="1"/>
  <c r="AV18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8" i="1"/>
  <c r="AG11" i="1"/>
  <c r="AU11" i="1" s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AW19" i="1" l="1"/>
  <c r="AV19" i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E17" i="2"/>
  <c r="AY17" i="2" s="1"/>
  <c r="AE18" i="2"/>
  <c r="AY18" i="2" s="1"/>
  <c r="AE16" i="2"/>
  <c r="AY16" i="2" s="1"/>
  <c r="AE15" i="2"/>
  <c r="AY15" i="2" s="1"/>
  <c r="AE14" i="2"/>
  <c r="AY14" i="2" s="1"/>
  <c r="AE13" i="2"/>
  <c r="AY13" i="2" s="1"/>
  <c r="AE12" i="2"/>
  <c r="AY12" i="2" s="1"/>
  <c r="AE11" i="2"/>
  <c r="AY11" i="2" l="1"/>
  <c r="AE19" i="2"/>
  <c r="AU19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<sst xmlns="http://schemas.openxmlformats.org/spreadsheetml/2006/main" count="328" uniqueCount="153">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</sst>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>
      <alignment horizontal="center" vertical="center"/>
    </xf>
    <xf numFmtId="0" fontId="18" fillId="0" borderId="46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18" fillId="0" borderId="46" xfId="0" applyNumberFormat="1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166" fontId="18" fillId="0" borderId="47" xfId="0" applyNumberFormat="1" applyFont="1" applyBorder="1" applyAlignment="1" applyProtection="1">
      <alignment horizontal="center" vertical="center"/>
      <protection locked="0"/>
    </xf>
    <xf numFmtId="0" fontId="18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3" fillId="0" borderId="47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7" xfId="1" applyFont="1" applyBorder="1" applyAlignment="1" applyProtection="1">
      <alignment horizontal="center" vertical="center"/>
      <protection locked="0"/>
    </xf>
    <xf numFmtId="9" fontId="13" fillId="0" borderId="46" xfId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66" fontId="13" fillId="0" borderId="46" xfId="2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56"/>
    <tableColumn id="2" xr3:uid="{463DDE45-D9C0-427C-876E-701990203745}" name="Linea Estratégica" dataDxfId="230" totalsRowDxfId="55"/>
    <tableColumn id="5" xr3:uid="{3F6CBF04-3038-493D-9682-3701A5F64050}" name="Sector" dataDxfId="229" totalsRowDxfId="54"/>
    <tableColumn id="14" xr3:uid="{C11AD105-DD89-4732-A7CA-BD37967696DF}" name="Cod. Programa" dataDxfId="228" totalsRowDxfId="53"/>
    <tableColumn id="15" xr3:uid="{0E80F163-E33F-4059-8A6D-425421785157}" name="Programa" dataDxfId="227" totalsRowDxfId="52"/>
    <tableColumn id="16" xr3:uid="{030A06D0-4CAD-4AA4-836C-055B51F3E366}" name="Cod. de Producto" dataDxfId="226" totalsRowDxfId="51"/>
    <tableColumn id="17" xr3:uid="{C8A8A252-971B-46DE-A280-F5F6B94D95FB}" name="Meta de Producto" dataDxfId="225" totalsRowDxfId="50"/>
    <tableColumn id="28" xr3:uid="{D2220855-F18C-4C23-97C3-B913C5604BE3}" name="Código BPIN" dataDxfId="224" totalsRowDxfId="49"/>
    <tableColumn id="29" xr3:uid="{2988837A-C189-4EB2-A3A7-C72D275C10FC}" name="Nombre del Proyecto" dataDxfId="223" totalsRowDxfId="48"/>
    <tableColumn id="30" xr3:uid="{60B15235-8E9A-45AF-BA43-52B409138BD8}" name="Valor del Proyecto" dataDxfId="222" totalsRowDxfId="47"/>
    <tableColumn id="31" xr3:uid="{4CBE52FC-B38C-45BE-AE0F-38D6926E5FE9}" name="Valor Vigencia Proyecto" dataDxfId="221" totalsRowDxfId="46"/>
    <tableColumn id="32" xr3:uid="{43542CFE-EAE4-4672-BA1D-9ACEA14EF3E9}" name="Comuna o Barrio Beneficiado" dataDxfId="220" totalsRowDxfId="45"/>
    <tableColumn id="33" xr3:uid="{F3E4F841-537F-477A-BD24-B3AE219A4B56}" name="Población Beneficiada" dataDxfId="219" totalsRowDxfId="44"/>
    <tableColumn id="34" xr3:uid="{30C29307-C069-4E12-B76E-E74173BA9DD7}" name="Número de Beneficiarios" dataDxfId="218" totalsRowDxfId="43"/>
    <tableColumn id="44" xr3:uid="{87501701-C5C8-4D1E-977A-2F68FA1ABCDB}" name="Actividades Realizadas" dataDxfId="217" totalsRowDxfId="42"/>
    <tableColumn id="46" xr3:uid="{FA3951BE-454D-4721-9E26-A4CB1F1CB97C}" name="Recursos propios" totalsRowFunction="sum" dataDxfId="216" totalsRowDxfId="41"/>
    <tableColumn id="47" xr3:uid="{9B2BE016-02E8-4AD2-9B0C-986A5117BCF4}" name="SGP Educación" dataDxfId="215" totalsRowDxfId="40"/>
    <tableColumn id="48" xr3:uid="{CB8E25BB-07F2-4DA6-8731-E6EA8E2437DA}" name="SGP Salud " dataDxfId="214" totalsRowDxfId="39"/>
    <tableColumn id="36" xr3:uid="{F6F860CF-B23C-4C9B-B872-088ED49A75FA}" name="SGP Deporte" totalsRowFunction="sum" dataDxfId="213" totalsRowDxfId="38"/>
    <tableColumn id="35" xr3:uid="{A4AF6B92-6184-4F1B-BD4A-DD0E8A471DE1}" name="SGP Cultura " dataDxfId="212" totalsRowDxfId="37"/>
    <tableColumn id="13" xr3:uid="{BB5E4F27-06C5-47A4-9A15-1D28297D6C3C}" name="SGP Libre inversión" dataDxfId="211" totalsRowDxfId="36"/>
    <tableColumn id="12" xr3:uid="{26BFBCF0-EAA5-4173-8CDE-77098DB6DCD4}" name="SGP Libre destinación " dataDxfId="210" totalsRowDxfId="35"/>
    <tableColumn id="11" xr3:uid="{200E50F1-6FF3-469B-BF6C-F89FD62ED470}" name="SGP Alimentación escolar " dataDxfId="209" totalsRowDxfId="34"/>
    <tableColumn id="10" xr3:uid="{74FD013A-6A91-4C29-A5E2-783B4C2777A5}" name="SGP Municipios río Magdalena " dataDxfId="208" totalsRowDxfId="33"/>
    <tableColumn id="9" xr3:uid="{0D70F7E5-4918-446E-801C-DAADBE8D861C}" name="SGP APSB " dataDxfId="207" totalsRowDxfId="32"/>
    <tableColumn id="8" xr3:uid="{C247B0D9-B24D-4058-AD23-2CBFE05BB0A7}" name="Crédito " dataDxfId="206" totalsRowDxfId="31"/>
    <tableColumn id="7" xr3:uid="{3EDAE4F0-9BC2-4511-ACA1-34CA47649CBF}" name="Transferencias de capital - cofinanciación departamento" dataDxfId="205" totalsRowDxfId="30"/>
    <tableColumn id="6" xr3:uid="{757C5EFA-C93B-42E1-88CD-BD895D93A842}" name="Transferencias de capital - cofinanciación nación " dataDxfId="204" totalsRowDxfId="29"/>
    <tableColumn id="49" xr3:uid="{A4919CB0-735C-4D31-915E-94B24E58D898}" name="Otros " totalsRowFunction="sum" dataDxfId="203" totalsRowDxfId="28"/>
    <tableColumn id="3" xr3:uid="{37AA396F-53B7-421C-A549-23A9482C587B}" name="Recursos del Balance" dataDxfId="202" totalsRowDxfId="27"/>
    <tableColumn id="50" xr3:uid="{52F03E04-26AA-4226-B9C3-7D46500C4C61}" name="Total" totalsRowFunction="sum" dataDxfId="201" totalsRowDxfId="26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200" totalsRowDxfId="25"/>
    <tableColumn id="52" xr3:uid="{FB0BE50F-710B-42A0-BE02-26FBB85DFAC6}" name="SGP Educación " dataDxfId="199" totalsRowDxfId="24"/>
    <tableColumn id="53" xr3:uid="{3CF98806-E614-494E-9B93-272D7B6FEEB9}" name="SGP Salud 2" dataDxfId="198" totalsRowDxfId="23"/>
    <tableColumn id="62" xr3:uid="{849F44EC-6EFB-435E-A7D6-24F4A2FF9670}" name="SGP Deporte2" totalsRowFunction="custom" dataDxfId="197" totalsRowDxfId="22">
      <totalsRowFormula>SUBTOTAL(109,Tabla13[[Recursos propios ]])</totalsRowFormula>
    </tableColumn>
    <tableColumn id="61" xr3:uid="{75AF0917-DEB9-45A9-AF5B-990F4181B256}" name="SGP Cultura 2" dataDxfId="196" totalsRowDxfId="21"/>
    <tableColumn id="45" xr3:uid="{C07D9211-8F0C-426E-91A5-79385376FE49}" name="SGP Libre inversión " dataDxfId="195" totalsRowDxfId="20"/>
    <tableColumn id="43" xr3:uid="{87757363-368F-44F1-8174-8A0F795D7097}" name="SGP Libre destinación" dataDxfId="194" totalsRowDxfId="19"/>
    <tableColumn id="42" xr3:uid="{F8AE36B1-22A7-483D-B1F9-321A7E6CF82A}" name="SGP Alimentación escolar" dataDxfId="193" totalsRowDxfId="18"/>
    <tableColumn id="41" xr3:uid="{BEC9F7C7-AE39-44E1-87D3-7157700FA9C2}" name="SGP Municipios río Magdalena" dataDxfId="192" totalsRowDxfId="17"/>
    <tableColumn id="40" xr3:uid="{1B3D2F58-8E90-4EF5-983F-A8730637900B}" name="SGP APSB" dataDxfId="191" totalsRowDxfId="16"/>
    <tableColumn id="39" xr3:uid="{CAB6DC96-5267-42EE-9408-AFD56CCCB09A}" name="Crédito" dataDxfId="190" totalsRowDxfId="15"/>
    <tableColumn id="38" xr3:uid="{A4F2E25C-5FFA-42A6-AC4B-FA906A4C19BD}" name="Transferencias de capital - cofinanciación departamento " dataDxfId="189" totalsRowDxfId="14"/>
    <tableColumn id="37" xr3:uid="{214F4C60-D4E8-43E5-9CFF-91803BB54F03}" name="Transferencias de capital - cofinanciación nación 2" dataDxfId="188" totalsRowDxfId="13"/>
    <tableColumn id="54" xr3:uid="{6E0754DC-59A4-44DF-BFED-488D836E5B78}" name="Otros 2" dataDxfId="187" totalsRowDxfId="12"/>
    <tableColumn id="4" xr3:uid="{120DA063-D517-4F92-948E-1FF6B0244552}" name="Recursos del Balance2" dataDxfId="186" totalsRowDxfId="11"/>
    <tableColumn id="55" xr3:uid="{BE94427F-1E81-4DAC-98E7-AECBC5FF5D78}" name="Total Recursos Comprometido" totalsRowFunction="sum" dataDxfId="185" totalsRowDxfId="10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84" totalsRowDxfId="9"/>
    <tableColumn id="21" xr3:uid="{6A20DBA0-7891-40B6-AC6F-9368578B4DE5}" name="Total Recursos Pagados" totalsRowFunction="sum" dataDxfId="183" totalsRowDxfId="8"/>
    <tableColumn id="56" xr3:uid="{BCDAB3FF-5412-4FAC-9746-7EC575BE394B}" name="Ejecución Recursos Comprometidos" dataDxfId="182" totalsRowDxfId="7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81" totalsRowDxfId="6">
      <calculatedColumnFormula>+Tabla13[[#This Row],[Total Recursos Obligados]]/Tabla13[[#This Row],[Total]]</calculatedColumnFormula>
    </tableColumn>
    <tableColumn id="23" xr3:uid="{75889010-8895-41D7-AA5A-E1F99CB79EA5}" name="Ejecución Recursos Pagados" dataDxfId="180" totalsRowDxfId="5">
      <calculatedColumnFormula>+Tabla13[[#This Row],[Total Recursos Pagados]]/Tabla13[[#This Row],[Total]]</calculatedColumnFormula>
    </tableColumn>
    <tableColumn id="18" xr3:uid="{6343368B-F202-6142-BBE7-7BC28B8C1CE4}" name="Total Recursos Gestionados2" dataDxfId="179" totalsRowDxfId="4"/>
    <tableColumn id="57" xr3:uid="{9341E1A8-F830-4C55-A410-D3E7FA43BE9C}" name="Nivel de Gestión" dataDxfId="178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77" totalsRowDxfId="2"/>
    <tableColumn id="59" xr3:uid="{04427D67-81CB-4277-8025-EE01F0C7861A}" name="Responsable" dataDxfId="176" totalsRowDxfId="1"/>
    <tableColumn id="60" xr3:uid="{E46EFF6B-6D92-4F27-9B06-4010D128B9A5}" name="ODS" dataDxfId="175" totalsRowDxfId="0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74" dataDxfId="172" headerRowBorderDxfId="173" tableBorderDxfId="171">
  <tableColumns count="57">
    <tableColumn id="1" xr3:uid="{00000000-0010-0000-0000-000001000000}" name=" Consecutivo PDM" dataDxfId="170" totalsRowDxfId="113"/>
    <tableColumn id="2" xr3:uid="{00000000-0010-0000-0000-000002000000}" name="Linea Estratégica" dataDxfId="169" totalsRowDxfId="112"/>
    <tableColumn id="5" xr3:uid="{00000000-0010-0000-0000-000005000000}" name="Sector" dataDxfId="168" totalsRowDxfId="111"/>
    <tableColumn id="14" xr3:uid="{00000000-0010-0000-0000-00000E000000}" name="Cod. Programa" dataDxfId="167" totalsRowDxfId="110"/>
    <tableColumn id="15" xr3:uid="{00000000-0010-0000-0000-00000F000000}" name="Programa" dataDxfId="166" totalsRowDxfId="109"/>
    <tableColumn id="16" xr3:uid="{00000000-0010-0000-0000-000010000000}" name="Cod. de Producto" dataDxfId="165" totalsRowDxfId="108"/>
    <tableColumn id="17" xr3:uid="{00000000-0010-0000-0000-000011000000}" name="Meta de Producto" dataDxfId="164" totalsRowDxfId="107"/>
    <tableColumn id="18" xr3:uid="{00000000-0010-0000-0000-000012000000}" name="Cod. Indicador de Producto" dataDxfId="163" totalsRowDxfId="106"/>
    <tableColumn id="19" xr3:uid="{00000000-0010-0000-0000-000013000000}" name="Indicador de Producto" dataDxfId="162" totalsRowDxfId="105"/>
    <tableColumn id="20" xr3:uid="{00000000-0010-0000-0000-000014000000}" name="LÍnea Base" dataDxfId="161" totalsRowDxfId="104"/>
    <tableColumn id="21" xr3:uid="{00000000-0010-0000-0000-000015000000}" name="Unidad de Medida2" dataDxfId="160" totalsRowDxfId="103"/>
    <tableColumn id="22" xr3:uid="{00000000-0010-0000-0000-000016000000}" name="Tipo de Meta" dataDxfId="159" totalsRowDxfId="102"/>
    <tableColumn id="23" xr3:uid="{00000000-0010-0000-0000-000017000000}" name="Meta Programada Cuatrienio3" dataDxfId="158" totalsRowDxfId="101"/>
    <tableColumn id="24" xr3:uid="{00000000-0010-0000-0000-000018000000}" name="Meta Programada Vigencia" dataDxfId="157" totalsRowDxfId="100"/>
    <tableColumn id="25" xr3:uid="{00000000-0010-0000-0000-000019000000}" name="Logro Vigencia" dataDxfId="156" totalsRowDxfId="99"/>
    <tableColumn id="41" xr3:uid="{948C74B7-9F8F-43C1-93AB-EE07E4D2D27B}" name="Porcentaje Avance Vigencia" dataDxfId="155" totalsRowDxfId="98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154" totalsRowDxfId="97"/>
    <tableColumn id="46" xr3:uid="{00000000-0010-0000-0000-00002E000000}" name="Recursos propios" dataDxfId="153" totalsRowDxfId="96"/>
    <tableColumn id="47" xr3:uid="{00000000-0010-0000-0000-00002F000000}" name="SGP Educación" dataDxfId="152" totalsRowDxfId="95"/>
    <tableColumn id="48" xr3:uid="{00000000-0010-0000-0000-000030000000}" name="SGP Salud" dataDxfId="151" totalsRowDxfId="94"/>
    <tableColumn id="36" xr3:uid="{9F9AF3B5-9302-4098-86C2-F3751C61856C}" name="SGP Deporte" dataDxfId="150" totalsRowDxfId="93">
      <calculatedColumnFormula>+Tabla13[[#This Row],[SGP Deporte]]</calculatedColumnFormula>
    </tableColumn>
    <tableColumn id="35" xr3:uid="{C5C853CA-0E38-42F1-B617-F223698DFB1E}" name="SGP Cultura" dataDxfId="149" totalsRowDxfId="92"/>
    <tableColumn id="13" xr3:uid="{D6B586E6-694C-47D3-A512-D9CFE88B0A7F}" name="SGP Libre inversión" dataDxfId="148" totalsRowDxfId="91"/>
    <tableColumn id="12" xr3:uid="{C6702C45-B7D4-4947-B509-EA37B6998105}" name="SGP Libre destinación" dataDxfId="147" totalsRowDxfId="90"/>
    <tableColumn id="11" xr3:uid="{6017F25B-848D-457C-9FE3-AA60351408C4}" name="SGP Alimentación escolar" dataDxfId="146" totalsRowDxfId="89"/>
    <tableColumn id="9" xr3:uid="{09919044-DCEC-4B52-92EE-B073D02DC126}" name="SGP APSB" dataDxfId="145" totalsRowDxfId="88"/>
    <tableColumn id="8" xr3:uid="{DB23BA9E-ECC6-40CB-BD89-0D2B86F37CB6}" name="Crédito" dataDxfId="144" totalsRowDxfId="87"/>
    <tableColumn id="7" xr3:uid="{D5A630DF-3B56-46D1-9753-5E0368C63EC6}" name="Transferencias de capital - cofinanciación departamento" dataDxfId="143" totalsRowDxfId="86"/>
    <tableColumn id="6" xr3:uid="{412FCA12-6813-443B-B6C2-123BED9F85F9}" name="Transferencias de capital - cofinanciación nación" dataDxfId="142" totalsRowDxfId="85"/>
    <tableColumn id="49" xr3:uid="{00000000-0010-0000-0000-000031000000}" name="Otros" dataDxfId="141" totalsRowDxfId="84">
      <calculatedColumnFormula>+Tabla13[[#This Row],[Otros ]]</calculatedColumnFormula>
    </tableColumn>
    <tableColumn id="27" xr3:uid="{7DD93E19-2832-4A51-8A0C-E61BADE2EBF2}" name="Recursos del Balance" dataDxfId="140" totalsRowDxfId="83"/>
    <tableColumn id="50" xr3:uid="{00000000-0010-0000-0000-000032000000}" name="Total 2024" dataDxfId="139" totalsRowDxfId="82">
      <calculatedColumnFormula>SUM(Tabla1[[#This Row],[Recursos propios]:[Recursos del Balance]])</calculatedColumnFormula>
    </tableColumn>
    <tableColumn id="51" xr3:uid="{00000000-0010-0000-0000-000033000000}" name="Recursos propios2" dataDxfId="138" totalsRowDxfId="81">
      <calculatedColumnFormula>+Tabla13[[#This Row],[Recursos propios ]]</calculatedColumnFormula>
    </tableColumn>
    <tableColumn id="52" xr3:uid="{00000000-0010-0000-0000-000034000000}" name="SGP Educación2" dataDxfId="137" totalsRowDxfId="80"/>
    <tableColumn id="53" xr3:uid="{00000000-0010-0000-0000-000035000000}" name="SGP Salud 20244" dataDxfId="136" totalsRowDxfId="79"/>
    <tableColumn id="62" xr3:uid="{7C7CEB6E-F374-4CFE-9734-C5F0F9CACDEF}" name="SGP Deporte " dataDxfId="135" totalsRowDxfId="78">
      <calculatedColumnFormula>+Tabla13[[#This Row],[SGP Deporte2]]</calculatedColumnFormula>
    </tableColumn>
    <tableColumn id="61" xr3:uid="{3FADCE38-626D-4D04-8E80-59C4EF4A26E2}" name="SGP Cultura " dataDxfId="134" totalsRowDxfId="77"/>
    <tableColumn id="45" xr3:uid="{6E60DE39-5E5F-42D9-8EA9-092D48DC1C96}" name="SGP Libre inversión7" dataDxfId="133" totalsRowDxfId="76"/>
    <tableColumn id="43" xr3:uid="{2BAC0D89-AF4D-42C7-B398-E355E1723AC0}" name="SGP Libre destinación " dataDxfId="132" totalsRowDxfId="75"/>
    <tableColumn id="42" xr3:uid="{26B92485-4124-4A13-AFC5-F2B525B9055F}" name="SGP Alimentación escolar2" dataDxfId="131" totalsRowDxfId="74"/>
    <tableColumn id="40" xr3:uid="{1BEDA122-5557-4D48-AF95-BCC1CDE51394}" name="SGP APSB 1" dataDxfId="130" totalsRowDxfId="73"/>
    <tableColumn id="39" xr3:uid="{08579477-3F83-4D37-83BA-A19DF09AE01D}" name="Crédito2" dataDxfId="129" totalsRowDxfId="72"/>
    <tableColumn id="38" xr3:uid="{A6A070B1-2233-4449-B2F2-3342ACF65D94}" name="Transferencias de capital - cofinanciación departamento " dataDxfId="128" totalsRowDxfId="71"/>
    <tableColumn id="37" xr3:uid="{81D561A4-3CB9-4C97-9B09-8163BD53EE55}" name="Transferencias de capital - cofinanciación nación " dataDxfId="127" totalsRowDxfId="70"/>
    <tableColumn id="54" xr3:uid="{00000000-0010-0000-0000-000036000000}" name="Otros " dataDxfId="126" totalsRowDxfId="69">
      <calculatedColumnFormula>+Tabla13[[#This Row],[Otros 2]]</calculatedColumnFormula>
    </tableColumn>
    <tableColumn id="10" xr3:uid="{6E2474FE-BE7F-4145-9A73-37EE37601765}" name="Recursos del Balance2" dataDxfId="125" totalsRowDxfId="68"/>
    <tableColumn id="55" xr3:uid="{00000000-0010-0000-0000-000037000000}" name="Total Recursos Comprometido" totalsRowFunction="sum" dataDxfId="124" totalsRowDxfId="67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123" totalsRowDxfId="66" totalsRowCellStyle="Currency">
      <calculatedColumnFormula>+Tabla13[[#This Row],[Total Recursos Obligados]]</calculatedColumnFormula>
    </tableColumn>
    <tableColumn id="4" xr3:uid="{FACF9905-9C80-4C0B-AA93-96434C5C0E89}" name="Total Recursos Pagados" totalsRowFunction="sum" dataDxfId="122" totalsRowDxfId="65" totalsRowCellStyle="Currency">
      <calculatedColumnFormula>+Tabla13[[#This Row],[Total Recursos Pagados]]</calculatedColumnFormula>
    </tableColumn>
    <tableColumn id="30" xr3:uid="{222F91FD-F5ED-4EEE-9A8F-E86D76F6FD1C}" name="Ejecución Recursos Comprometidos" dataDxfId="121" totalsRowDxfId="64" totalsRowCellStyle="Percent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120" totalsRowDxfId="63" totalsRowCellStyle="Percent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119" totalsRowDxfId="62" totalsRowCellStyle="Percent">
      <calculatedColumnFormula>+Tabla1[[#This Row],[Total Recursos Pagados]]/Tabla1[[#This Row],[Total 2024]]</calculatedColumnFormula>
    </tableColumn>
    <tableColumn id="31" xr3:uid="{425B0788-0421-4008-BBBD-C96BE816DACB}" name="Total Recursos Gestionados2" dataDxfId="118" totalsRowDxfId="61"/>
    <tableColumn id="33" xr3:uid="{DC8E6CD1-31C8-440A-AC48-81F7B88607CF}" name="Nivel de Gestión" dataDxfId="117" totalsRowDxfId="60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116" totalsRowDxfId="59"/>
    <tableColumn id="59" xr3:uid="{00000000-0010-0000-0000-00003B000000}" name="Responsable" dataDxfId="115" totalsRowDxfId="58"/>
    <tableColumn id="60" xr3:uid="{00000000-0010-0000-0000-00003C000000}" name="ODS" dataDxfId="114" totalsRowDxfId="57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19"/>
  <sheetViews>
    <sheetView showGridLines="0" topLeftCell="A7" zoomScale="80" zoomScaleNormal="80" workbookViewId="0">
      <selection activeCell="AU11" sqref="AU11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83203125" style="4" bestFit="1" customWidth="1"/>
    <col min="20" max="28" width="18.1640625" style="4" customWidth="1"/>
    <col min="29" max="29" width="19.83203125" style="4" bestFit="1" customWidth="1"/>
    <col min="30" max="30" width="18.1640625" style="4" customWidth="1"/>
    <col min="31" max="32" width="24.1640625" style="4" customWidth="1"/>
    <col min="33" max="42" width="19" style="4" customWidth="1"/>
    <col min="43" max="43" width="26.6640625" style="4" customWidth="1"/>
    <col min="44" max="44" width="25.33203125" style="4" customWidth="1"/>
    <col min="45" max="46" width="19" style="4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1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6"/>
      <c r="B1" s="117"/>
      <c r="C1" s="130" t="s">
        <v>31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  <c r="BC1" s="139" t="s">
        <v>32</v>
      </c>
      <c r="BD1" s="140"/>
      <c r="BE1" s="141"/>
    </row>
    <row r="2" spans="1:57" ht="30" customHeight="1" x14ac:dyDescent="0.2">
      <c r="A2" s="118"/>
      <c r="B2" s="119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5"/>
      <c r="BC2" s="142" t="s">
        <v>123</v>
      </c>
      <c r="BD2" s="143"/>
      <c r="BE2" s="144"/>
    </row>
    <row r="3" spans="1:57" ht="30" customHeight="1" x14ac:dyDescent="0.2">
      <c r="A3" s="118"/>
      <c r="B3" s="119"/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5"/>
      <c r="BC3" s="142" t="s">
        <v>124</v>
      </c>
      <c r="BD3" s="143"/>
      <c r="BE3" s="144"/>
    </row>
    <row r="4" spans="1:57" ht="30" customHeight="1" thickBot="1" x14ac:dyDescent="0.25">
      <c r="A4" s="120"/>
      <c r="B4" s="121"/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/>
      <c r="BC4" s="145" t="s">
        <v>125</v>
      </c>
      <c r="BD4" s="146"/>
      <c r="BE4" s="147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2"/>
      <c r="BE8" s="13"/>
    </row>
    <row r="9" spans="1:57" s="2" customFormat="1" ht="38" customHeight="1" thickBot="1" x14ac:dyDescent="0.25">
      <c r="A9" s="122" t="s">
        <v>27</v>
      </c>
      <c r="B9" s="122"/>
      <c r="C9" s="122"/>
      <c r="D9" s="122"/>
      <c r="E9" s="122"/>
      <c r="F9" s="122"/>
      <c r="G9" s="122"/>
      <c r="H9" s="123" t="s">
        <v>25</v>
      </c>
      <c r="I9" s="124"/>
      <c r="J9" s="124"/>
      <c r="K9" s="124"/>
      <c r="L9" s="124"/>
      <c r="M9" s="124"/>
      <c r="N9" s="124"/>
      <c r="O9" s="125"/>
      <c r="P9" s="126" t="s">
        <v>24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8"/>
      <c r="AE9" s="129"/>
      <c r="AF9" s="123" t="s">
        <v>23</v>
      </c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3" t="s">
        <v>44</v>
      </c>
      <c r="AY9" s="124"/>
      <c r="AZ9" s="125"/>
      <c r="BA9" s="124" t="s">
        <v>46</v>
      </c>
      <c r="BB9" s="124"/>
      <c r="BC9" s="114" t="s">
        <v>22</v>
      </c>
      <c r="BD9" s="115"/>
      <c r="BE9" s="14"/>
    </row>
    <row r="10" spans="1:57" s="2" customFormat="1" ht="57" customHeight="1" x14ac:dyDescent="0.2">
      <c r="A10" s="48" t="s">
        <v>20</v>
      </c>
      <c r="B10" s="48" t="s">
        <v>19</v>
      </c>
      <c r="C10" s="48" t="s">
        <v>18</v>
      </c>
      <c r="D10" s="48" t="s">
        <v>17</v>
      </c>
      <c r="E10" s="48" t="s">
        <v>16</v>
      </c>
      <c r="F10" s="48" t="s">
        <v>15</v>
      </c>
      <c r="G10" s="48" t="s">
        <v>14</v>
      </c>
      <c r="H10" s="48" t="s">
        <v>34</v>
      </c>
      <c r="I10" s="48" t="s">
        <v>8</v>
      </c>
      <c r="J10" s="48" t="s">
        <v>7</v>
      </c>
      <c r="K10" s="48" t="s">
        <v>6</v>
      </c>
      <c r="L10" s="48" t="s">
        <v>5</v>
      </c>
      <c r="M10" s="48" t="s">
        <v>4</v>
      </c>
      <c r="N10" s="48" t="s">
        <v>3</v>
      </c>
      <c r="O10" s="64" t="s">
        <v>2</v>
      </c>
      <c r="P10" s="48" t="s">
        <v>47</v>
      </c>
      <c r="Q10" s="48" t="s">
        <v>48</v>
      </c>
      <c r="R10" s="48" t="s">
        <v>138</v>
      </c>
      <c r="S10" s="48" t="s">
        <v>50</v>
      </c>
      <c r="T10" s="48" t="s">
        <v>129</v>
      </c>
      <c r="U10" s="48" t="s">
        <v>52</v>
      </c>
      <c r="V10" s="48" t="s">
        <v>127</v>
      </c>
      <c r="W10" s="48" t="s">
        <v>139</v>
      </c>
      <c r="X10" s="48" t="s">
        <v>140</v>
      </c>
      <c r="Y10" s="48" t="s">
        <v>141</v>
      </c>
      <c r="Z10" s="48" t="s">
        <v>142</v>
      </c>
      <c r="AA10" s="48" t="s">
        <v>57</v>
      </c>
      <c r="AB10" s="48" t="s">
        <v>135</v>
      </c>
      <c r="AC10" s="48" t="s">
        <v>136</v>
      </c>
      <c r="AD10" s="48" t="s">
        <v>63</v>
      </c>
      <c r="AE10" s="48" t="s">
        <v>143</v>
      </c>
      <c r="AF10" s="48" t="s">
        <v>144</v>
      </c>
      <c r="AG10" s="48" t="s">
        <v>145</v>
      </c>
      <c r="AH10" s="48" t="s">
        <v>146</v>
      </c>
      <c r="AI10" s="48" t="s">
        <v>147</v>
      </c>
      <c r="AJ10" s="48" t="s">
        <v>148</v>
      </c>
      <c r="AK10" s="48" t="s">
        <v>149</v>
      </c>
      <c r="AL10" s="48" t="s">
        <v>53</v>
      </c>
      <c r="AM10" s="48" t="s">
        <v>54</v>
      </c>
      <c r="AN10" s="48" t="s">
        <v>150</v>
      </c>
      <c r="AO10" s="48" t="s">
        <v>55</v>
      </c>
      <c r="AP10" s="48" t="s">
        <v>56</v>
      </c>
      <c r="AQ10" s="48" t="s">
        <v>134</v>
      </c>
      <c r="AR10" s="48" t="s">
        <v>151</v>
      </c>
      <c r="AS10" s="48" t="s">
        <v>152</v>
      </c>
      <c r="AT10" s="48" t="s">
        <v>64</v>
      </c>
      <c r="AU10" s="48" t="s">
        <v>137</v>
      </c>
      <c r="AV10" s="48" t="s">
        <v>35</v>
      </c>
      <c r="AW10" s="65" t="s">
        <v>36</v>
      </c>
      <c r="AX10" s="48" t="s">
        <v>43</v>
      </c>
      <c r="AY10" s="48" t="s">
        <v>41</v>
      </c>
      <c r="AZ10" s="48" t="s">
        <v>40</v>
      </c>
      <c r="BA10" s="52" t="s">
        <v>45</v>
      </c>
      <c r="BB10" s="65" t="s">
        <v>42</v>
      </c>
      <c r="BC10" s="48" t="s">
        <v>1</v>
      </c>
      <c r="BD10" s="48" t="s">
        <v>0</v>
      </c>
      <c r="BE10" s="50" t="s">
        <v>21</v>
      </c>
    </row>
    <row r="11" spans="1:57" s="9" customFormat="1" ht="152" x14ac:dyDescent="0.2">
      <c r="A11" s="74">
        <v>17</v>
      </c>
      <c r="B11" s="74" t="s">
        <v>65</v>
      </c>
      <c r="C11" s="75" t="s">
        <v>66</v>
      </c>
      <c r="D11" s="74" t="s">
        <v>67</v>
      </c>
      <c r="E11" s="75" t="s">
        <v>68</v>
      </c>
      <c r="F11" s="74" t="s">
        <v>69</v>
      </c>
      <c r="G11" s="75" t="s">
        <v>70</v>
      </c>
      <c r="H11" s="69" t="s">
        <v>90</v>
      </c>
      <c r="I11" s="66" t="s">
        <v>91</v>
      </c>
      <c r="J11" s="67">
        <v>3099764162</v>
      </c>
      <c r="K11" s="67">
        <v>554890354</v>
      </c>
      <c r="L11" s="66"/>
      <c r="M11" s="66"/>
      <c r="N11" s="78"/>
      <c r="O11" s="70" t="s">
        <v>92</v>
      </c>
      <c r="P11" s="71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6"/>
      <c r="AE11" s="22">
        <f>SUM(Tabla13[[#This Row],[Recursos propios]:[Recursos del Balance]])</f>
        <v>221000000</v>
      </c>
      <c r="AF11" s="79">
        <v>167546666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>
        <f>SUM(Tabla13[[#This Row],[Recursos propios ]:[Recursos del Balance2]])</f>
        <v>167546666</v>
      </c>
      <c r="AV11" s="80">
        <v>53133332</v>
      </c>
      <c r="AW11" s="82">
        <v>43233332</v>
      </c>
      <c r="AX11" s="20">
        <f>+Tabla13[[#This Row],[Total Recursos Comprometido]]/Tabla13[[#This Row],[Total]]</f>
        <v>0.75812971040723987</v>
      </c>
      <c r="AY11" s="17">
        <f>+Tabla13[[#This Row],[Total Recursos Obligados]]/Tabla13[[#This Row],[Total]]</f>
        <v>0.24042231674208145</v>
      </c>
      <c r="AZ11" s="21">
        <f>+Tabla13[[#This Row],[Total Recursos Pagados]]/Tabla13[[#This Row],[Total]]</f>
        <v>0.1956259366515837</v>
      </c>
      <c r="BA11" s="84"/>
      <c r="BB11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2" t="s">
        <v>109</v>
      </c>
      <c r="BD11" s="43" t="s">
        <v>110</v>
      </c>
      <c r="BE11" s="44" t="s">
        <v>111</v>
      </c>
    </row>
    <row r="12" spans="1:57" s="10" customFormat="1" ht="153" x14ac:dyDescent="0.2">
      <c r="A12" s="74">
        <v>130</v>
      </c>
      <c r="B12" s="74" t="s">
        <v>71</v>
      </c>
      <c r="C12" s="75" t="s">
        <v>72</v>
      </c>
      <c r="D12" s="74" t="s">
        <v>73</v>
      </c>
      <c r="E12" s="75" t="s">
        <v>74</v>
      </c>
      <c r="F12" s="74" t="s">
        <v>75</v>
      </c>
      <c r="G12" s="75" t="s">
        <v>76</v>
      </c>
      <c r="H12" s="69">
        <v>2024680010188</v>
      </c>
      <c r="I12" s="66" t="s">
        <v>93</v>
      </c>
      <c r="J12" s="68">
        <v>28415693588.045601</v>
      </c>
      <c r="K12" s="68">
        <v>3580155267</v>
      </c>
      <c r="L12" s="66" t="s">
        <v>94</v>
      </c>
      <c r="M12" s="66" t="s">
        <v>95</v>
      </c>
      <c r="N12" s="78"/>
      <c r="O12" s="70" t="s">
        <v>96</v>
      </c>
      <c r="P12" s="71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/>
      <c r="AE12" s="26">
        <f>SUM(Tabla13[[#This Row],[Recursos propios]:[Recursos del Balance]])</f>
        <v>827000000</v>
      </c>
      <c r="AF12" s="79">
        <v>23500000</v>
      </c>
      <c r="AG12" s="15"/>
      <c r="AH12" s="15"/>
      <c r="AI12" s="15">
        <v>589019999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>
        <f>SUM(Tabla13[[#This Row],[Recursos propios ]:[Recursos del Balance2]])</f>
        <v>612519999</v>
      </c>
      <c r="AV12" s="81">
        <v>117819999</v>
      </c>
      <c r="AW12" s="83">
        <v>111319999</v>
      </c>
      <c r="AX12" s="59">
        <f>+Tabla13[[#This Row],[Total Recursos Comprometido]]/Tabla13[[#This Row],[Total]]</f>
        <v>0.74065296130592506</v>
      </c>
      <c r="AY12" s="18">
        <f>+Tabla13[[#This Row],[Total Recursos Obligados]]/Tabla13[[#This Row],[Total]]</f>
        <v>0.14246674607013302</v>
      </c>
      <c r="AZ12" s="60">
        <f>+Tabla13[[#This Row],[Total Recursos Pagados]]/Tabla13[[#This Row],[Total]]</f>
        <v>0.13460701209189843</v>
      </c>
      <c r="BA12" s="85"/>
      <c r="BB12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2" t="s">
        <v>109</v>
      </c>
      <c r="BD12" s="43" t="s">
        <v>110</v>
      </c>
      <c r="BE12" s="24">
        <v>3</v>
      </c>
    </row>
    <row r="13" spans="1:57" s="10" customFormat="1" ht="190" x14ac:dyDescent="0.2">
      <c r="A13" s="76">
        <v>131</v>
      </c>
      <c r="B13" s="76" t="s">
        <v>71</v>
      </c>
      <c r="C13" s="77" t="s">
        <v>72</v>
      </c>
      <c r="D13" s="76" t="s">
        <v>73</v>
      </c>
      <c r="E13" s="77" t="s">
        <v>74</v>
      </c>
      <c r="F13" s="76" t="s">
        <v>77</v>
      </c>
      <c r="G13" s="77" t="s">
        <v>78</v>
      </c>
      <c r="H13" s="69">
        <v>2024680010188</v>
      </c>
      <c r="I13" s="66" t="s">
        <v>93</v>
      </c>
      <c r="J13" s="68">
        <v>28415693588.045601</v>
      </c>
      <c r="K13" s="66">
        <v>3580155267</v>
      </c>
      <c r="L13" s="66" t="s">
        <v>94</v>
      </c>
      <c r="M13" s="66" t="s">
        <v>97</v>
      </c>
      <c r="N13" s="78"/>
      <c r="O13" s="70" t="s">
        <v>98</v>
      </c>
      <c r="P13" s="71">
        <v>720429196</v>
      </c>
      <c r="Q13" s="15"/>
      <c r="R13" s="15"/>
      <c r="S13" s="25">
        <v>1770258446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/>
      <c r="AE13" s="26">
        <f>SUM(Tabla13[[#This Row],[Recursos propios]:[Recursos del Balance]])</f>
        <v>2753155267</v>
      </c>
      <c r="AF13" s="79">
        <v>272553349</v>
      </c>
      <c r="AG13" s="15"/>
      <c r="AH13" s="15"/>
      <c r="AI13" s="15">
        <v>1352300000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>
        <f>SUM(Tabla13[[#This Row],[Recursos propios ]:[Recursos del Balance2]])</f>
        <v>1624853349</v>
      </c>
      <c r="AV13" s="81">
        <v>584936682</v>
      </c>
      <c r="AW13" s="83">
        <v>539953349</v>
      </c>
      <c r="AX13" s="19">
        <f>+Tabla13[[#This Row],[Total Recursos Comprometido]]/Tabla13[[#This Row],[Total]]</f>
        <v>0.5901786101481068</v>
      </c>
      <c r="AY13" s="33">
        <f>+Tabla13[[#This Row],[Total Recursos Obligados]]/Tabla13[[#This Row],[Total]]</f>
        <v>0.21246047726083442</v>
      </c>
      <c r="AZ13" s="34">
        <f>+Tabla13[[#This Row],[Total Recursos Pagados]]/Tabla13[[#This Row],[Total]]</f>
        <v>0.19612164830368065</v>
      </c>
      <c r="BA13" s="86"/>
      <c r="BB13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8" t="s">
        <v>109</v>
      </c>
      <c r="BD13" s="43" t="s">
        <v>110</v>
      </c>
      <c r="BE13" s="24">
        <v>3</v>
      </c>
    </row>
    <row r="14" spans="1:57" s="10" customFormat="1" ht="204" x14ac:dyDescent="0.2">
      <c r="A14" s="74">
        <v>132</v>
      </c>
      <c r="B14" s="74" t="s">
        <v>71</v>
      </c>
      <c r="C14" s="75" t="s">
        <v>72</v>
      </c>
      <c r="D14" s="74" t="s">
        <v>73</v>
      </c>
      <c r="E14" s="75" t="s">
        <v>74</v>
      </c>
      <c r="F14" s="74" t="s">
        <v>79</v>
      </c>
      <c r="G14" s="75" t="s">
        <v>80</v>
      </c>
      <c r="H14" s="69">
        <v>2024680010180</v>
      </c>
      <c r="I14" s="66" t="s">
        <v>99</v>
      </c>
      <c r="J14" s="68">
        <v>2673095647</v>
      </c>
      <c r="K14" s="66">
        <v>246617935.00000006</v>
      </c>
      <c r="L14" s="66" t="s">
        <v>94</v>
      </c>
      <c r="M14" s="66" t="s">
        <v>97</v>
      </c>
      <c r="N14" s="78"/>
      <c r="O14" s="70" t="s">
        <v>100</v>
      </c>
      <c r="P14" s="71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/>
      <c r="AE14" s="26">
        <f>SUM(Tabla13[[#This Row],[Recursos propios]:[Recursos del Balance]])</f>
        <v>246617935</v>
      </c>
      <c r="AF14" s="79">
        <v>68800000</v>
      </c>
      <c r="AG14" s="15"/>
      <c r="AH14" s="15"/>
      <c r="AI14" s="15">
        <v>102200000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>
        <f>SUM(Tabla13[[#This Row],[Recursos propios ]:[Recursos del Balance2]])</f>
        <v>171000000</v>
      </c>
      <c r="AV14" s="80">
        <v>34500000</v>
      </c>
      <c r="AW14" s="82">
        <v>26800000</v>
      </c>
      <c r="AX14" s="20">
        <f>+Tabla13[[#This Row],[Total Recursos Comprometido]]/Tabla13[[#This Row],[Total]]</f>
        <v>0.6933802280032878</v>
      </c>
      <c r="AY14" s="17">
        <f>+Tabla13[[#This Row],[Total Recursos Obligados]]/Tabla13[[#This Row],[Total]]</f>
        <v>0.1398925021410142</v>
      </c>
      <c r="AZ14" s="21">
        <f>+Tabla13[[#This Row],[Total Recursos Pagados]]/Tabla13[[#This Row],[Total]]</f>
        <v>0.10867011760519364</v>
      </c>
      <c r="BA14" s="84"/>
      <c r="BB14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2" t="s">
        <v>109</v>
      </c>
      <c r="BD14" s="43" t="s">
        <v>110</v>
      </c>
      <c r="BE14" s="24">
        <v>3</v>
      </c>
    </row>
    <row r="15" spans="1:57" s="10" customFormat="1" ht="102" x14ac:dyDescent="0.2">
      <c r="A15" s="76">
        <v>133</v>
      </c>
      <c r="B15" s="76" t="s">
        <v>71</v>
      </c>
      <c r="C15" s="77" t="s">
        <v>72</v>
      </c>
      <c r="D15" s="76" t="s">
        <v>73</v>
      </c>
      <c r="E15" s="77" t="s">
        <v>74</v>
      </c>
      <c r="F15" s="76" t="s">
        <v>81</v>
      </c>
      <c r="G15" s="77" t="s">
        <v>82</v>
      </c>
      <c r="H15" s="69">
        <v>2024680010167</v>
      </c>
      <c r="I15" s="66" t="s">
        <v>101</v>
      </c>
      <c r="J15" s="68">
        <v>12373413078.165682</v>
      </c>
      <c r="K15" s="68">
        <v>2597103016.9956827</v>
      </c>
      <c r="L15" s="66" t="s">
        <v>102</v>
      </c>
      <c r="M15" s="66" t="s">
        <v>103</v>
      </c>
      <c r="N15" s="78">
        <v>619703</v>
      </c>
      <c r="O15" s="70" t="s">
        <v>104</v>
      </c>
      <c r="P15" s="71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214987489</v>
      </c>
      <c r="AD15" s="27"/>
      <c r="AE15" s="26">
        <f>SUM(Tabla13[[#This Row],[Recursos propios]:[Recursos del Balance]])</f>
        <v>1503917939</v>
      </c>
      <c r="AF15" s="79">
        <v>1009854421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>
        <f>SUM(Tabla13[[#This Row],[Recursos propios ]:[Recursos del Balance2]])</f>
        <v>1009854421</v>
      </c>
      <c r="AV15" s="81">
        <v>512758881</v>
      </c>
      <c r="AW15" s="83">
        <v>507758881</v>
      </c>
      <c r="AX15" s="19">
        <f>+Tabla13[[#This Row],[Total Recursos Comprometido]]/Tabla13[[#This Row],[Total]]</f>
        <v>0.67148239595538195</v>
      </c>
      <c r="AY15" s="33">
        <f>+Tabla13[[#This Row],[Total Recursos Obligados]]/Tabla13[[#This Row],[Total]]</f>
        <v>0.34094870983515813</v>
      </c>
      <c r="AZ15" s="34">
        <f>+Tabla13[[#This Row],[Total Recursos Pagados]]/Tabla13[[#This Row],[Total]]</f>
        <v>0.33762406035107478</v>
      </c>
      <c r="BA15" s="86"/>
      <c r="BB15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8" t="s">
        <v>109</v>
      </c>
      <c r="BD15" s="43" t="s">
        <v>110</v>
      </c>
      <c r="BE15" s="24">
        <v>3</v>
      </c>
    </row>
    <row r="16" spans="1:57" s="10" customFormat="1" ht="119" x14ac:dyDescent="0.2">
      <c r="A16" s="74">
        <v>134</v>
      </c>
      <c r="B16" s="74" t="s">
        <v>71</v>
      </c>
      <c r="C16" s="75" t="s">
        <v>72</v>
      </c>
      <c r="D16" s="74" t="s">
        <v>73</v>
      </c>
      <c r="E16" s="75" t="s">
        <v>74</v>
      </c>
      <c r="F16" s="74" t="s">
        <v>83</v>
      </c>
      <c r="G16" s="75" t="s">
        <v>84</v>
      </c>
      <c r="H16" s="69">
        <v>2024680010167</v>
      </c>
      <c r="I16" s="66" t="s">
        <v>101</v>
      </c>
      <c r="J16" s="68">
        <v>12373413078.165682</v>
      </c>
      <c r="K16" s="68">
        <v>2597103016.9956827</v>
      </c>
      <c r="L16" s="66">
        <v>1</v>
      </c>
      <c r="M16" s="66" t="s">
        <v>103</v>
      </c>
      <c r="N16" s="78">
        <v>619703</v>
      </c>
      <c r="O16" s="70" t="s">
        <v>105</v>
      </c>
      <c r="P16" s="71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285863078</v>
      </c>
      <c r="AD16" s="27"/>
      <c r="AE16" s="26">
        <f>SUM(Tabla13[[#This Row],[Recursos propios]:[Recursos del Balance]])</f>
        <v>1093185078</v>
      </c>
      <c r="AF16" s="79">
        <v>336400000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>
        <f>SUM(Tabla13[[#This Row],[Recursos propios ]:[Recursos del Balance2]])</f>
        <v>336400000</v>
      </c>
      <c r="AV16" s="81">
        <v>128800000</v>
      </c>
      <c r="AW16" s="83">
        <v>126000000</v>
      </c>
      <c r="AX16" s="19">
        <f>+Tabla13[[#This Row],[Total Recursos Comprometido]]/Tabla13[[#This Row],[Total]]</f>
        <v>0.30772465410472793</v>
      </c>
      <c r="AY16" s="33">
        <f>+Tabla13[[#This Row],[Total Recursos Obligados]]/Tabla13[[#This Row],[Total]]</f>
        <v>0.11782085448480664</v>
      </c>
      <c r="AZ16" s="34">
        <f>+Tabla13[[#This Row],[Total Recursos Pagados]]/Tabla13[[#This Row],[Total]]</f>
        <v>0.11525953156122389</v>
      </c>
      <c r="BA16" s="86"/>
      <c r="BB16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8" t="s">
        <v>109</v>
      </c>
      <c r="BD16" s="43" t="s">
        <v>110</v>
      </c>
      <c r="BE16" s="24">
        <v>3</v>
      </c>
    </row>
    <row r="17" spans="1:57" s="10" customFormat="1" ht="152" x14ac:dyDescent="0.2">
      <c r="A17" s="76">
        <v>137</v>
      </c>
      <c r="B17" s="76" t="s">
        <v>71</v>
      </c>
      <c r="C17" s="77" t="s">
        <v>66</v>
      </c>
      <c r="D17" s="76" t="s">
        <v>67</v>
      </c>
      <c r="E17" s="77" t="s">
        <v>85</v>
      </c>
      <c r="F17" s="76" t="s">
        <v>86</v>
      </c>
      <c r="G17" s="77" t="s">
        <v>87</v>
      </c>
      <c r="H17" s="69" t="s">
        <v>90</v>
      </c>
      <c r="I17" s="66" t="s">
        <v>91</v>
      </c>
      <c r="J17" s="67">
        <v>3099764162</v>
      </c>
      <c r="K17" s="67">
        <v>554890354</v>
      </c>
      <c r="L17" s="66"/>
      <c r="M17" s="66"/>
      <c r="N17" s="78"/>
      <c r="O17" s="70" t="s">
        <v>106</v>
      </c>
      <c r="P17" s="71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9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1"/>
      <c r="AW17" s="83"/>
      <c r="AX17" s="59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60">
        <f>+Tabla13[[#This Row],[Total Recursos Pagados]]/Tabla13[[#This Row],[Total]]</f>
        <v>0</v>
      </c>
      <c r="BA17" s="85"/>
      <c r="BB17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2" t="s">
        <v>109</v>
      </c>
      <c r="BD17" s="43" t="s">
        <v>110</v>
      </c>
      <c r="BE17" s="24" t="s">
        <v>111</v>
      </c>
    </row>
    <row r="18" spans="1:57" s="10" customFormat="1" ht="152" x14ac:dyDescent="0.2">
      <c r="A18" s="74">
        <v>138</v>
      </c>
      <c r="B18" s="74" t="s">
        <v>71</v>
      </c>
      <c r="C18" s="75" t="s">
        <v>66</v>
      </c>
      <c r="D18" s="74" t="s">
        <v>67</v>
      </c>
      <c r="E18" s="75" t="s">
        <v>85</v>
      </c>
      <c r="F18" s="74" t="s">
        <v>88</v>
      </c>
      <c r="G18" s="75" t="s">
        <v>89</v>
      </c>
      <c r="H18" s="69" t="s">
        <v>90</v>
      </c>
      <c r="I18" s="66" t="s">
        <v>91</v>
      </c>
      <c r="J18" s="67">
        <v>3099764162</v>
      </c>
      <c r="K18" s="67">
        <v>554890354</v>
      </c>
      <c r="L18" s="66" t="s">
        <v>94</v>
      </c>
      <c r="M18" s="66" t="s">
        <v>107</v>
      </c>
      <c r="N18" s="78">
        <v>438</v>
      </c>
      <c r="O18" s="70" t="s">
        <v>108</v>
      </c>
      <c r="P18" s="71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15"/>
      <c r="AE18" s="26">
        <f>SUM(Tabla13[[#This Row],[Recursos propios]:[Recursos del Balance]])</f>
        <v>253890354</v>
      </c>
      <c r="AF18" s="79">
        <v>153200000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>
        <f>SUM(Tabla13[[#This Row],[Recursos propios ]:[Recursos del Balance2]])</f>
        <v>153200000</v>
      </c>
      <c r="AV18" s="81">
        <v>49400000</v>
      </c>
      <c r="AW18" s="83">
        <v>40600000</v>
      </c>
      <c r="AX18" s="19">
        <f>+Tabla13[[#This Row],[Total Recursos Comprometido]]/Tabla13[[#This Row],[Total]]</f>
        <v>0.60341008465410229</v>
      </c>
      <c r="AY18" s="33">
        <f>+Tabla13[[#This Row],[Total Recursos Obligados]]/Tabla13[[#This Row],[Total]]</f>
        <v>0.19457218134407736</v>
      </c>
      <c r="AZ18" s="34">
        <f>+Tabla13[[#This Row],[Total Recursos Pagados]]/Tabla13[[#This Row],[Total]]</f>
        <v>0.15991154984958586</v>
      </c>
      <c r="BA18" s="86"/>
      <c r="BB18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8" t="s">
        <v>109</v>
      </c>
      <c r="BD18" s="43" t="s">
        <v>110</v>
      </c>
      <c r="BE18" s="24" t="s">
        <v>111</v>
      </c>
    </row>
    <row r="19" spans="1:57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  <c r="O19" s="92"/>
      <c r="P19" s="94">
        <f>SUBTOTAL(109,Tabla13[Recursos propios])</f>
        <v>3500000000</v>
      </c>
      <c r="Q19" s="92"/>
      <c r="R19" s="92"/>
      <c r="S19" s="94">
        <f>SUBTOTAL(109,Tabla13[SGP Deporte])</f>
        <v>2665448381</v>
      </c>
      <c r="T19" s="93"/>
      <c r="U19" s="93"/>
      <c r="V19" s="93"/>
      <c r="W19" s="93"/>
      <c r="X19" s="93"/>
      <c r="Y19" s="93"/>
      <c r="Z19" s="93"/>
      <c r="AA19" s="93"/>
      <c r="AB19" s="93"/>
      <c r="AC19" s="94">
        <f>SUBTOTAL(109,Tabla13[[Otros ]])</f>
        <v>813318192</v>
      </c>
      <c r="AD19" s="93"/>
      <c r="AE19" s="94">
        <f>SUBTOTAL(109,Tabla13[Total])</f>
        <v>6978766573</v>
      </c>
      <c r="AF19" s="94">
        <f>SUBTOTAL(109,Tabla13[[Recursos propios ]])</f>
        <v>2031854436</v>
      </c>
      <c r="AG19" s="92"/>
      <c r="AH19" s="92"/>
      <c r="AI19" s="94">
        <f>SUBTOTAL(109,Tabla13[[Recursos propios ]])</f>
        <v>2031854436</v>
      </c>
      <c r="AJ19" s="93"/>
      <c r="AK19" s="93"/>
      <c r="AL19" s="93"/>
      <c r="AM19" s="93"/>
      <c r="AN19" s="93"/>
      <c r="AO19" s="93"/>
      <c r="AP19" s="93"/>
      <c r="AQ19" s="93"/>
      <c r="AR19" s="93"/>
      <c r="AS19" s="92"/>
      <c r="AT19" s="93"/>
      <c r="AU19" s="94">
        <f>SUBTOTAL(109,Tabla13[Total Recursos Comprometido])</f>
        <v>4075374435</v>
      </c>
      <c r="AV19" s="95">
        <f>SUBTOTAL(109,Tabla13[Total Recursos Obligados])</f>
        <v>1481348894</v>
      </c>
      <c r="AW19" s="95">
        <f>SUBTOTAL(109,Tabla13[Total Recursos Pagados])</f>
        <v>1395665561</v>
      </c>
      <c r="AX19" s="96"/>
      <c r="AY19" s="95"/>
      <c r="AZ19" s="95"/>
      <c r="BA19" s="93"/>
      <c r="BB19" s="94"/>
      <c r="BC19" s="91"/>
      <c r="BD19" s="97"/>
      <c r="BE19" s="91"/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9"/>
  <sheetViews>
    <sheetView showGridLines="0" tabSelected="1" zoomScaleNormal="80" workbookViewId="0">
      <selection activeCell="A6" sqref="A6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6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6"/>
      <c r="B1" s="117"/>
      <c r="C1" s="130" t="s">
        <v>31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  <c r="BC1" s="139" t="s">
        <v>32</v>
      </c>
      <c r="BD1" s="140"/>
      <c r="BE1" s="141"/>
    </row>
    <row r="2" spans="1:57" ht="30" customHeight="1" x14ac:dyDescent="0.2">
      <c r="A2" s="118"/>
      <c r="B2" s="119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5"/>
      <c r="BC2" s="151" t="s">
        <v>123</v>
      </c>
      <c r="BD2" s="152"/>
      <c r="BE2" s="153"/>
    </row>
    <row r="3" spans="1:57" ht="30" customHeight="1" x14ac:dyDescent="0.2">
      <c r="A3" s="118"/>
      <c r="B3" s="119"/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5"/>
      <c r="BC3" s="142" t="s">
        <v>124</v>
      </c>
      <c r="BD3" s="143"/>
      <c r="BE3" s="144"/>
    </row>
    <row r="4" spans="1:57" ht="30" customHeight="1" thickBot="1" x14ac:dyDescent="0.25">
      <c r="A4" s="120"/>
      <c r="B4" s="121"/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/>
      <c r="BC4" s="145" t="s">
        <v>126</v>
      </c>
      <c r="BD4" s="146"/>
      <c r="BE4" s="147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7"/>
      <c r="AY6" s="37"/>
      <c r="AZ6" s="37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7"/>
      <c r="AY7" s="37"/>
      <c r="AZ7" s="37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7"/>
      <c r="AY8" s="37"/>
      <c r="AZ8" s="37"/>
      <c r="BA8" s="6"/>
      <c r="BB8" s="6"/>
      <c r="BC8" s="12"/>
      <c r="BD8" s="12"/>
      <c r="BE8" s="13"/>
    </row>
    <row r="9" spans="1:57" s="2" customFormat="1" ht="38" customHeight="1" thickBot="1" x14ac:dyDescent="0.25">
      <c r="A9" s="122" t="s">
        <v>27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 t="s">
        <v>26</v>
      </c>
      <c r="P9" s="124"/>
      <c r="Q9" s="125"/>
      <c r="R9" s="126" t="s">
        <v>24</v>
      </c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8"/>
      <c r="AF9" s="129"/>
      <c r="AG9" s="123" t="s">
        <v>23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5"/>
      <c r="AX9" s="148" t="s">
        <v>44</v>
      </c>
      <c r="AY9" s="149"/>
      <c r="AZ9" s="150"/>
      <c r="BA9" s="124" t="s">
        <v>46</v>
      </c>
      <c r="BB9" s="124"/>
      <c r="BC9" s="114" t="s">
        <v>22</v>
      </c>
      <c r="BD9" s="115"/>
      <c r="BE9" s="14"/>
    </row>
    <row r="10" spans="1:57" s="2" customFormat="1" ht="57" customHeight="1" x14ac:dyDescent="0.2">
      <c r="A10" s="48" t="s">
        <v>20</v>
      </c>
      <c r="B10" s="48" t="s">
        <v>19</v>
      </c>
      <c r="C10" s="48" t="s">
        <v>18</v>
      </c>
      <c r="D10" s="48" t="s">
        <v>17</v>
      </c>
      <c r="E10" s="48" t="s">
        <v>16</v>
      </c>
      <c r="F10" s="48" t="s">
        <v>15</v>
      </c>
      <c r="G10" s="48" t="s">
        <v>14</v>
      </c>
      <c r="H10" s="48" t="s">
        <v>13</v>
      </c>
      <c r="I10" s="48" t="s">
        <v>12</v>
      </c>
      <c r="J10" s="48" t="s">
        <v>30</v>
      </c>
      <c r="K10" s="48" t="s">
        <v>29</v>
      </c>
      <c r="L10" s="48" t="s">
        <v>11</v>
      </c>
      <c r="M10" s="48" t="s">
        <v>33</v>
      </c>
      <c r="N10" s="48" t="s">
        <v>10</v>
      </c>
      <c r="O10" s="48" t="s">
        <v>39</v>
      </c>
      <c r="P10" s="48" t="s">
        <v>9</v>
      </c>
      <c r="Q10" s="48" t="s">
        <v>62</v>
      </c>
      <c r="R10" s="48" t="s">
        <v>47</v>
      </c>
      <c r="S10" s="48" t="s">
        <v>48</v>
      </c>
      <c r="T10" s="48" t="s">
        <v>49</v>
      </c>
      <c r="U10" s="48" t="s">
        <v>50</v>
      </c>
      <c r="V10" s="48" t="s">
        <v>51</v>
      </c>
      <c r="W10" s="48" t="s">
        <v>52</v>
      </c>
      <c r="X10" s="48" t="s">
        <v>53</v>
      </c>
      <c r="Y10" s="48" t="s">
        <v>54</v>
      </c>
      <c r="Z10" s="48" t="s">
        <v>55</v>
      </c>
      <c r="AA10" s="48" t="s">
        <v>56</v>
      </c>
      <c r="AB10" s="48" t="s">
        <v>57</v>
      </c>
      <c r="AC10" s="48" t="s">
        <v>58</v>
      </c>
      <c r="AD10" s="48" t="s">
        <v>59</v>
      </c>
      <c r="AE10" s="48" t="s">
        <v>63</v>
      </c>
      <c r="AF10" s="48" t="s">
        <v>37</v>
      </c>
      <c r="AG10" s="48" t="s">
        <v>60</v>
      </c>
      <c r="AH10" s="48" t="s">
        <v>61</v>
      </c>
      <c r="AI10" s="48" t="s">
        <v>38</v>
      </c>
      <c r="AJ10" s="48" t="s">
        <v>130</v>
      </c>
      <c r="AK10" s="48" t="s">
        <v>129</v>
      </c>
      <c r="AL10" s="48" t="s">
        <v>128</v>
      </c>
      <c r="AM10" s="48" t="s">
        <v>127</v>
      </c>
      <c r="AN10" s="48" t="s">
        <v>131</v>
      </c>
      <c r="AO10" s="48" t="s">
        <v>132</v>
      </c>
      <c r="AP10" s="48" t="s">
        <v>133</v>
      </c>
      <c r="AQ10" s="48" t="s">
        <v>134</v>
      </c>
      <c r="AR10" s="48" t="s">
        <v>135</v>
      </c>
      <c r="AS10" s="48" t="s">
        <v>136</v>
      </c>
      <c r="AT10" s="48" t="s">
        <v>64</v>
      </c>
      <c r="AU10" s="48" t="s">
        <v>137</v>
      </c>
      <c r="AV10" s="48" t="s">
        <v>35</v>
      </c>
      <c r="AW10" s="48" t="s">
        <v>36</v>
      </c>
      <c r="AX10" s="49" t="s">
        <v>43</v>
      </c>
      <c r="AY10" s="49" t="s">
        <v>41</v>
      </c>
      <c r="AZ10" s="49" t="s">
        <v>40</v>
      </c>
      <c r="BA10" s="52" t="s">
        <v>45</v>
      </c>
      <c r="BB10" s="23" t="s">
        <v>42</v>
      </c>
      <c r="BC10" s="48" t="s">
        <v>1</v>
      </c>
      <c r="BD10" s="48" t="s">
        <v>0</v>
      </c>
      <c r="BE10" s="50" t="s">
        <v>21</v>
      </c>
    </row>
    <row r="11" spans="1:57" s="9" customFormat="1" ht="60" x14ac:dyDescent="0.2">
      <c r="A11" s="42">
        <v>17</v>
      </c>
      <c r="B11" s="29" t="s">
        <v>65</v>
      </c>
      <c r="C11" s="29" t="s">
        <v>66</v>
      </c>
      <c r="D11" s="29" t="s">
        <v>67</v>
      </c>
      <c r="E11" s="29" t="s">
        <v>68</v>
      </c>
      <c r="F11" s="29" t="s">
        <v>69</v>
      </c>
      <c r="G11" s="29" t="s">
        <v>70</v>
      </c>
      <c r="H11" s="29">
        <v>410204300</v>
      </c>
      <c r="I11" s="29" t="s">
        <v>112</v>
      </c>
      <c r="J11" s="87">
        <v>0</v>
      </c>
      <c r="K11" s="29" t="s">
        <v>113</v>
      </c>
      <c r="L11" s="29" t="s">
        <v>121</v>
      </c>
      <c r="M11" s="87">
        <v>5000</v>
      </c>
      <c r="N11" s="43">
        <v>1300</v>
      </c>
      <c r="O11" s="46">
        <v>71</v>
      </c>
      <c r="P11" s="51">
        <f>+Tabla1[[#This Row],[Logro Vigencia]]/Tabla1[[#This Row],[Meta Programada Vigencia]]</f>
        <v>5.4615384615384614E-2</v>
      </c>
      <c r="Q11" s="53"/>
      <c r="R11" s="89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/>
      <c r="AF11" s="57">
        <f>SUM(Tabla1[[#This Row],[Recursos propios]:[Recursos del Balance]])</f>
        <v>221000000</v>
      </c>
      <c r="AG11" s="79">
        <f>+Tabla13[[#This Row],[Recursos propios ]]</f>
        <v>167546666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/>
      <c r="AU11" s="35">
        <f>SUM(Tabla1[[#This Row],[Recursos propios2]:[Recursos del Balance2]])</f>
        <v>167546666</v>
      </c>
      <c r="AV11" s="16">
        <f>+Tabla13[[#This Row],[Total Recursos Obligados]]</f>
        <v>53133332</v>
      </c>
      <c r="AW11" s="22">
        <f>+Tabla13[[#This Row],[Total Recursos Pagados]]</f>
        <v>43233332</v>
      </c>
      <c r="AX11" s="20">
        <f>+Tabla1[[#This Row],[Total Recursos Comprometido]]/Tabla1[[#This Row],[Total 2024]]</f>
        <v>0.75812971040723987</v>
      </c>
      <c r="AY11" s="17">
        <f>+Tabla1[[#This Row],[Total Recursos Obligados]]/Tabla1[[#This Row],[Total 2024]]</f>
        <v>0.24042231674208145</v>
      </c>
      <c r="AZ11" s="21">
        <f>+Tabla1[[#This Row],[Total Recursos Pagados]]/Tabla1[[#This Row],[Total 2024]]</f>
        <v>0.1956259366515837</v>
      </c>
      <c r="BA11" s="84"/>
      <c r="BB11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2" t="s">
        <v>109</v>
      </c>
      <c r="BD11" s="43" t="s">
        <v>110</v>
      </c>
      <c r="BE11" s="44" t="s">
        <v>111</v>
      </c>
    </row>
    <row r="12" spans="1:57" s="10" customFormat="1" ht="30" x14ac:dyDescent="0.2">
      <c r="A12" s="38">
        <v>130</v>
      </c>
      <c r="B12" s="29" t="s">
        <v>71</v>
      </c>
      <c r="C12" s="29" t="s">
        <v>72</v>
      </c>
      <c r="D12" s="30" t="s">
        <v>73</v>
      </c>
      <c r="E12" s="29" t="s">
        <v>74</v>
      </c>
      <c r="F12" s="30" t="s">
        <v>75</v>
      </c>
      <c r="G12" s="29" t="s">
        <v>76</v>
      </c>
      <c r="H12" s="30">
        <v>430100700</v>
      </c>
      <c r="I12" s="29" t="s">
        <v>114</v>
      </c>
      <c r="J12" s="88">
        <v>4000</v>
      </c>
      <c r="K12" s="30" t="s">
        <v>113</v>
      </c>
      <c r="L12" s="30" t="s">
        <v>121</v>
      </c>
      <c r="M12" s="88">
        <v>15000</v>
      </c>
      <c r="N12" s="39">
        <v>3500</v>
      </c>
      <c r="O12" s="40">
        <v>1196</v>
      </c>
      <c r="P12" s="41">
        <f>+Tabla1[[#This Row],[Logro Vigencia]]/Tabla1[[#This Row],[Meta Programada Vigencia]]</f>
        <v>0.34171428571428569</v>
      </c>
      <c r="Q12" s="54"/>
      <c r="R12" s="79">
        <v>28428000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/>
      <c r="AF12" s="58">
        <f>SUM(Tabla1[[#This Row],[Recursos propios]:[Recursos del Balance]])</f>
        <v>827000000</v>
      </c>
      <c r="AG12" s="79">
        <f>+Tabla13[[#This Row],[Recursos propios ]]</f>
        <v>23500000</v>
      </c>
      <c r="AH12" s="15"/>
      <c r="AI12" s="15"/>
      <c r="AJ12" s="16">
        <f>+Tabla13[[#This Row],[SGP Deporte2]]</f>
        <v>589019999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0</v>
      </c>
      <c r="AT12" s="15"/>
      <c r="AU12" s="35">
        <f>SUM(Tabla1[[#This Row],[Recursos propios2]:[Recursos del Balance2]])</f>
        <v>612519999</v>
      </c>
      <c r="AV12" s="16">
        <f>+Tabla13[[#This Row],[Total Recursos Obligados]]</f>
        <v>117819999</v>
      </c>
      <c r="AW12" s="22">
        <f>+Tabla13[[#This Row],[Total Recursos Pagados]]</f>
        <v>111319999</v>
      </c>
      <c r="AX12" s="59">
        <f>+Tabla1[[#This Row],[Total Recursos Comprometido]]/Tabla1[[#This Row],[Total 2024]]</f>
        <v>0.74065296130592506</v>
      </c>
      <c r="AY12" s="18">
        <f>+Tabla1[[#This Row],[Total Recursos Obligados]]/Tabla1[[#This Row],[Total 2024]]</f>
        <v>0.14246674607013302</v>
      </c>
      <c r="AZ12" s="60">
        <f>+Tabla1[[#This Row],[Total Recursos Pagados]]/Tabla1[[#This Row],[Total 2024]]</f>
        <v>0.13460701209189843</v>
      </c>
      <c r="BA12" s="85"/>
      <c r="BB12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2" t="s">
        <v>109</v>
      </c>
      <c r="BD12" s="43" t="s">
        <v>110</v>
      </c>
      <c r="BE12" s="44">
        <v>3</v>
      </c>
    </row>
    <row r="13" spans="1:57" s="10" customFormat="1" ht="60" x14ac:dyDescent="0.2">
      <c r="A13" s="38">
        <v>131</v>
      </c>
      <c r="B13" s="29" t="s">
        <v>71</v>
      </c>
      <c r="C13" s="29" t="s">
        <v>72</v>
      </c>
      <c r="D13" s="30" t="s">
        <v>73</v>
      </c>
      <c r="E13" s="29" t="s">
        <v>74</v>
      </c>
      <c r="F13" s="30" t="s">
        <v>77</v>
      </c>
      <c r="G13" s="29" t="s">
        <v>78</v>
      </c>
      <c r="H13" s="30">
        <v>430103700</v>
      </c>
      <c r="I13" s="29" t="s">
        <v>115</v>
      </c>
      <c r="J13" s="30">
        <v>45300</v>
      </c>
      <c r="K13" s="30" t="s">
        <v>113</v>
      </c>
      <c r="L13" s="30" t="s">
        <v>121</v>
      </c>
      <c r="M13" s="29">
        <v>195000</v>
      </c>
      <c r="N13" s="43">
        <v>51500</v>
      </c>
      <c r="O13" s="46">
        <v>35872</v>
      </c>
      <c r="P13" s="41">
        <f>+Tabla1[[#This Row],[Logro Vigencia]]/Tabla1[[#This Row],[Meta Programada Vigencia]]</f>
        <v>0.69654368932038835</v>
      </c>
      <c r="Q13" s="54"/>
      <c r="R13" s="79">
        <v>720429196</v>
      </c>
      <c r="S13" s="15"/>
      <c r="T13" s="15"/>
      <c r="U13" s="16">
        <f>+Tabla13[[#This Row],[SGP Deporte]]</f>
        <v>1770258446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27"/>
      <c r="AF13" s="58">
        <f>SUM(Tabla1[[#This Row],[Recursos propios]:[Recursos del Balance]])</f>
        <v>2753155267</v>
      </c>
      <c r="AG13" s="79">
        <f>+Tabla13[[#This Row],[Recursos propios ]]</f>
        <v>272553349</v>
      </c>
      <c r="AH13" s="15"/>
      <c r="AI13" s="15"/>
      <c r="AJ13" s="16">
        <f>+Tabla13[[#This Row],[SGP Deporte2]]</f>
        <v>1352300000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0</v>
      </c>
      <c r="AT13" s="15"/>
      <c r="AU13" s="35">
        <f>SUM(Tabla1[[#This Row],[Recursos propios2]:[Recursos del Balance2]])</f>
        <v>1624853349</v>
      </c>
      <c r="AV13" s="16">
        <f>+Tabla13[[#This Row],[Total Recursos Obligados]]</f>
        <v>584936682</v>
      </c>
      <c r="AW13" s="22">
        <f>+Tabla13[[#This Row],[Total Recursos Pagados]]</f>
        <v>539953349</v>
      </c>
      <c r="AX13" s="20">
        <f>+Tabla1[[#This Row],[Total Recursos Comprometido]]/Tabla1[[#This Row],[Total 2024]]</f>
        <v>0.5901786101481068</v>
      </c>
      <c r="AY13" s="17">
        <f>+Tabla1[[#This Row],[Total Recursos Obligados]]/Tabla1[[#This Row],[Total 2024]]</f>
        <v>0.21246047726083442</v>
      </c>
      <c r="AZ13" s="21">
        <f>+Tabla1[[#This Row],[Total Recursos Pagados]]/Tabla1[[#This Row],[Total 2024]]</f>
        <v>0.19612164830368065</v>
      </c>
      <c r="BA13" s="84"/>
      <c r="BB13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2" t="s">
        <v>109</v>
      </c>
      <c r="BD13" s="43" t="s">
        <v>110</v>
      </c>
      <c r="BE13" s="44">
        <v>3</v>
      </c>
    </row>
    <row r="14" spans="1:57" s="10" customFormat="1" ht="30" x14ac:dyDescent="0.2">
      <c r="A14" s="38">
        <v>132</v>
      </c>
      <c r="B14" s="29" t="s">
        <v>71</v>
      </c>
      <c r="C14" s="29" t="s">
        <v>72</v>
      </c>
      <c r="D14" s="30" t="s">
        <v>73</v>
      </c>
      <c r="E14" s="29" t="s">
        <v>74</v>
      </c>
      <c r="F14" s="30" t="s">
        <v>79</v>
      </c>
      <c r="G14" s="29" t="s">
        <v>80</v>
      </c>
      <c r="H14" s="30">
        <v>430100100</v>
      </c>
      <c r="I14" s="29" t="s">
        <v>116</v>
      </c>
      <c r="J14" s="88">
        <v>15000</v>
      </c>
      <c r="K14" s="30" t="s">
        <v>113</v>
      </c>
      <c r="L14" s="30" t="s">
        <v>121</v>
      </c>
      <c r="M14" s="87">
        <v>20000</v>
      </c>
      <c r="N14" s="43">
        <v>5000</v>
      </c>
      <c r="O14" s="46">
        <v>359</v>
      </c>
      <c r="P14" s="41">
        <f>+Tabla1[[#This Row],[Logro Vigencia]]/Tabla1[[#This Row],[Meta Programada Vigencia]]</f>
        <v>7.1800000000000003E-2</v>
      </c>
      <c r="Q14" s="54"/>
      <c r="R14" s="90">
        <v>100000000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/>
      <c r="AF14" s="58">
        <f>SUM(Tabla1[[#This Row],[Recursos propios]:[Recursos del Balance]])</f>
        <v>246617935</v>
      </c>
      <c r="AG14" s="79">
        <f>+Tabla13[[#This Row],[Recursos propios ]]</f>
        <v>68800000</v>
      </c>
      <c r="AH14" s="15"/>
      <c r="AI14" s="15"/>
      <c r="AJ14" s="16">
        <f>+Tabla13[[#This Row],[SGP Deporte2]]</f>
        <v>102200000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/>
      <c r="AU14" s="35">
        <f>SUM(Tabla1[[#This Row],[Recursos propios2]:[Recursos del Balance2]])</f>
        <v>171000000</v>
      </c>
      <c r="AV14" s="16">
        <f>+Tabla13[[#This Row],[Total Recursos Obligados]]</f>
        <v>34500000</v>
      </c>
      <c r="AW14" s="22">
        <f>+Tabla13[[#This Row],[Total Recursos Pagados]]</f>
        <v>26800000</v>
      </c>
      <c r="AX14" s="59">
        <f>+Tabla1[[#This Row],[Total Recursos Comprometido]]/Tabla1[[#This Row],[Total 2024]]</f>
        <v>0.6933802280032878</v>
      </c>
      <c r="AY14" s="18">
        <f>+Tabla1[[#This Row],[Total Recursos Obligados]]/Tabla1[[#This Row],[Total 2024]]</f>
        <v>0.1398925021410142</v>
      </c>
      <c r="AZ14" s="60">
        <f>+Tabla1[[#This Row],[Total Recursos Pagados]]/Tabla1[[#This Row],[Total 2024]]</f>
        <v>0.10867011760519364</v>
      </c>
      <c r="BA14" s="85"/>
      <c r="BB14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2" t="s">
        <v>109</v>
      </c>
      <c r="BD14" s="43" t="s">
        <v>110</v>
      </c>
      <c r="BE14" s="44">
        <v>3</v>
      </c>
    </row>
    <row r="15" spans="1:57" s="10" customFormat="1" ht="30" x14ac:dyDescent="0.2">
      <c r="A15" s="38">
        <v>133</v>
      </c>
      <c r="B15" s="29" t="s">
        <v>71</v>
      </c>
      <c r="C15" s="29" t="s">
        <v>72</v>
      </c>
      <c r="D15" s="30" t="s">
        <v>73</v>
      </c>
      <c r="E15" s="30" t="s">
        <v>74</v>
      </c>
      <c r="F15" s="30" t="s">
        <v>81</v>
      </c>
      <c r="G15" s="30" t="s">
        <v>82</v>
      </c>
      <c r="H15" s="30">
        <v>430100300</v>
      </c>
      <c r="I15" s="30" t="s">
        <v>117</v>
      </c>
      <c r="J15" s="30">
        <v>18</v>
      </c>
      <c r="K15" s="30" t="s">
        <v>113</v>
      </c>
      <c r="L15" s="30" t="s">
        <v>122</v>
      </c>
      <c r="M15" s="30">
        <v>18</v>
      </c>
      <c r="N15" s="39">
        <v>18</v>
      </c>
      <c r="O15" s="40">
        <v>18</v>
      </c>
      <c r="P15" s="45">
        <f>+Tabla1[[#This Row],[Logro Vigencia]]/Tabla1[[#This Row],[Meta Programada Vigencia]]</f>
        <v>1</v>
      </c>
      <c r="Q15" s="55"/>
      <c r="R15" s="79">
        <v>1288930450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214987489</v>
      </c>
      <c r="AE15" s="15"/>
      <c r="AF15" s="58">
        <f>SUM(Tabla1[[#This Row],[Recursos propios]:[Recursos del Balance]])</f>
        <v>1503917939</v>
      </c>
      <c r="AG15" s="79">
        <f>+Tabla13[[#This Row],[Recursos propios ]]</f>
        <v>1009854421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/>
      <c r="AU15" s="35">
        <f>SUM(Tabla1[[#This Row],[Recursos propios2]:[Recursos del Balance2]])</f>
        <v>1009854421</v>
      </c>
      <c r="AV15" s="16">
        <f>+Tabla13[[#This Row],[Total Recursos Obligados]]</f>
        <v>512758881</v>
      </c>
      <c r="AW15" s="22">
        <f>+Tabla13[[#This Row],[Total Recursos Pagados]]</f>
        <v>507758881</v>
      </c>
      <c r="AX15" s="19">
        <f>+Tabla1[[#This Row],[Total Recursos Comprometido]]/Tabla1[[#This Row],[Total 2024]]</f>
        <v>0.67148239595538195</v>
      </c>
      <c r="AY15" s="33">
        <f>+Tabla1[[#This Row],[Total Recursos Obligados]]/Tabla1[[#This Row],[Total 2024]]</f>
        <v>0.34094870983515813</v>
      </c>
      <c r="AZ15" s="34">
        <f>+Tabla1[[#This Row],[Total Recursos Pagados]]/Tabla1[[#This Row],[Total 2024]]</f>
        <v>0.33762406035107478</v>
      </c>
      <c r="BA15" s="86"/>
      <c r="BB15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2" t="s">
        <v>109</v>
      </c>
      <c r="BD15" s="43" t="s">
        <v>110</v>
      </c>
      <c r="BE15" s="44">
        <v>3</v>
      </c>
    </row>
    <row r="16" spans="1:57" s="10" customFormat="1" ht="30" x14ac:dyDescent="0.2">
      <c r="A16" s="38">
        <v>134</v>
      </c>
      <c r="B16" s="29" t="s">
        <v>71</v>
      </c>
      <c r="C16" s="29" t="s">
        <v>72</v>
      </c>
      <c r="D16" s="29" t="s">
        <v>73</v>
      </c>
      <c r="E16" s="29" t="s">
        <v>74</v>
      </c>
      <c r="F16" s="29" t="s">
        <v>83</v>
      </c>
      <c r="G16" s="29" t="s">
        <v>84</v>
      </c>
      <c r="H16" s="29">
        <v>430100400</v>
      </c>
      <c r="I16" s="29" t="s">
        <v>118</v>
      </c>
      <c r="J16" s="87">
        <v>80</v>
      </c>
      <c r="K16" s="29" t="s">
        <v>113</v>
      </c>
      <c r="L16" s="30" t="s">
        <v>121</v>
      </c>
      <c r="M16" s="87">
        <v>80</v>
      </c>
      <c r="N16" s="43">
        <v>20</v>
      </c>
      <c r="O16" s="46">
        <v>3</v>
      </c>
      <c r="P16" s="47">
        <f>+Tabla1[[#This Row],[Logro Vigencia]]/Tabla1[[#This Row],[Meta Programada Vigencia]]</f>
        <v>0.15</v>
      </c>
      <c r="Q16" s="56"/>
      <c r="R16" s="89">
        <v>807322000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285863078</v>
      </c>
      <c r="AE16" s="28"/>
      <c r="AF16" s="58">
        <f>SUM(Tabla1[[#This Row],[Recursos propios]:[Recursos del Balance]])</f>
        <v>1093185078</v>
      </c>
      <c r="AG16" s="79">
        <f>+Tabla13[[#This Row],[Recursos propios ]]</f>
        <v>336400000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0</v>
      </c>
      <c r="AT16" s="28"/>
      <c r="AU16" s="35">
        <f>SUM(Tabla1[[#This Row],[Recursos propios2]:[Recursos del Balance2]])</f>
        <v>336400000</v>
      </c>
      <c r="AV16" s="16">
        <f>+Tabla13[[#This Row],[Total Recursos Obligados]]</f>
        <v>128800000</v>
      </c>
      <c r="AW16" s="22">
        <f>+Tabla13[[#This Row],[Total Recursos Pagados]]</f>
        <v>126000000</v>
      </c>
      <c r="AX16" s="20">
        <f>+Tabla1[[#This Row],[Total Recursos Comprometido]]/Tabla1[[#This Row],[Total 2024]]</f>
        <v>0.30772465410472793</v>
      </c>
      <c r="AY16" s="17">
        <f>+Tabla1[[#This Row],[Total Recursos Obligados]]/Tabla1[[#This Row],[Total 2024]]</f>
        <v>0.11782085448480664</v>
      </c>
      <c r="AZ16" s="21">
        <f>+Tabla1[[#This Row],[Total Recursos Pagados]]/Tabla1[[#This Row],[Total 2024]]</f>
        <v>0.11525953156122389</v>
      </c>
      <c r="BA16" s="84"/>
      <c r="BB16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2" t="s">
        <v>109</v>
      </c>
      <c r="BD16" s="43" t="s">
        <v>110</v>
      </c>
      <c r="BE16" s="44">
        <v>3</v>
      </c>
    </row>
    <row r="17" spans="1:57" s="10" customFormat="1" ht="60" x14ac:dyDescent="0.2">
      <c r="A17" s="38">
        <v>137</v>
      </c>
      <c r="B17" s="29" t="s">
        <v>71</v>
      </c>
      <c r="C17" s="29" t="s">
        <v>66</v>
      </c>
      <c r="D17" s="30" t="s">
        <v>67</v>
      </c>
      <c r="E17" s="29" t="s">
        <v>85</v>
      </c>
      <c r="F17" s="30" t="s">
        <v>86</v>
      </c>
      <c r="G17" s="29" t="s">
        <v>87</v>
      </c>
      <c r="H17" s="30">
        <v>410205000</v>
      </c>
      <c r="I17" s="29" t="s">
        <v>119</v>
      </c>
      <c r="J17" s="30">
        <v>6</v>
      </c>
      <c r="K17" s="30" t="s">
        <v>113</v>
      </c>
      <c r="L17" s="30" t="s">
        <v>121</v>
      </c>
      <c r="M17" s="30">
        <v>9</v>
      </c>
      <c r="N17" s="39">
        <v>2</v>
      </c>
      <c r="O17" s="40">
        <v>0</v>
      </c>
      <c r="P17" s="41">
        <f>+Tabla1[[#This Row],[Logro Vigencia]]/Tabla1[[#This Row],[Meta Programada Vigencia]]</f>
        <v>0</v>
      </c>
      <c r="Q17" s="54"/>
      <c r="R17" s="79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/>
      <c r="AF17" s="58">
        <f>SUM(Tabla1[[#This Row],[Recursos propios]:[Recursos del Balance]])</f>
        <v>80000000</v>
      </c>
      <c r="AG17" s="79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/>
      <c r="AU17" s="35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9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60">
        <f>+Tabla1[[#This Row],[Total Recursos Pagados]]/Tabla1[[#This Row],[Total 2024]]</f>
        <v>0</v>
      </c>
      <c r="BA17" s="85"/>
      <c r="BB17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2" t="s">
        <v>109</v>
      </c>
      <c r="BD17" s="43" t="s">
        <v>110</v>
      </c>
      <c r="BE17" s="44" t="s">
        <v>111</v>
      </c>
    </row>
    <row r="18" spans="1:57" s="10" customFormat="1" ht="60" x14ac:dyDescent="0.2">
      <c r="A18" s="38">
        <v>138</v>
      </c>
      <c r="B18" s="29" t="s">
        <v>71</v>
      </c>
      <c r="C18" s="29" t="s">
        <v>66</v>
      </c>
      <c r="D18" s="30" t="s">
        <v>67</v>
      </c>
      <c r="E18" s="29" t="s">
        <v>85</v>
      </c>
      <c r="F18" s="30" t="s">
        <v>88</v>
      </c>
      <c r="G18" s="29" t="s">
        <v>89</v>
      </c>
      <c r="H18" s="30">
        <v>410204200</v>
      </c>
      <c r="I18" s="29" t="s">
        <v>120</v>
      </c>
      <c r="J18" s="88">
        <v>0</v>
      </c>
      <c r="K18" s="30" t="s">
        <v>113</v>
      </c>
      <c r="L18" s="30" t="s">
        <v>121</v>
      </c>
      <c r="M18" s="88">
        <v>9</v>
      </c>
      <c r="N18" s="39">
        <v>2</v>
      </c>
      <c r="O18" s="40">
        <v>0.66</v>
      </c>
      <c r="P18" s="41">
        <f>+Tabla1[[#This Row],[Logro Vigencia]]/Tabla1[[#This Row],[Meta Programada Vigencia]]</f>
        <v>0.33</v>
      </c>
      <c r="Q18" s="54"/>
      <c r="R18" s="79">
        <v>253890354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/>
      <c r="AF18" s="58">
        <f>SUM(Tabla1[[#This Row],[Recursos propios]:[Recursos del Balance]])</f>
        <v>253890354</v>
      </c>
      <c r="AG18" s="79">
        <f>+Tabla13[[#This Row],[Recursos propios ]]</f>
        <v>153200000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/>
      <c r="AU18" s="35">
        <f>SUM(Tabla1[[#This Row],[Recursos propios2]:[Recursos del Balance2]])</f>
        <v>153200000</v>
      </c>
      <c r="AV18" s="16">
        <f>+Tabla13[[#This Row],[Total Recursos Obligados]]</f>
        <v>49400000</v>
      </c>
      <c r="AW18" s="22">
        <f>+Tabla13[[#This Row],[Total Recursos Pagados]]</f>
        <v>40600000</v>
      </c>
      <c r="AX18" s="59">
        <f>+Tabla1[[#This Row],[Total Recursos Comprometido]]/Tabla1[[#This Row],[Total 2024]]</f>
        <v>0.60341008465410229</v>
      </c>
      <c r="AY18" s="18">
        <f>+Tabla1[[#This Row],[Total Recursos Obligados]]/Tabla1[[#This Row],[Total 2024]]</f>
        <v>0.19457218134407736</v>
      </c>
      <c r="AZ18" s="60">
        <f>+Tabla1[[#This Row],[Total Recursos Pagados]]/Tabla1[[#This Row],[Total 2024]]</f>
        <v>0.15991154984958586</v>
      </c>
      <c r="BA18" s="85"/>
      <c r="BB18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2" t="s">
        <v>109</v>
      </c>
      <c r="BD18" s="43" t="s">
        <v>110</v>
      </c>
      <c r="BE18" s="44" t="s">
        <v>111</v>
      </c>
    </row>
    <row r="19" spans="1:57" x14ac:dyDescent="0.2">
      <c r="A19" s="98"/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98"/>
      <c r="P19" s="101"/>
      <c r="Q19" s="100"/>
      <c r="R19" s="102"/>
      <c r="S19" s="103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5"/>
      <c r="AF19" s="103"/>
      <c r="AG19" s="106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3"/>
      <c r="AT19" s="105"/>
      <c r="AU19" s="107">
        <f>SUBTOTAL(109,Tabla1[Total Recursos Comprometido])</f>
        <v>4075374435</v>
      </c>
      <c r="AV19" s="113">
        <f>SUBTOTAL(109,Tabla1[Total Recursos Obligados])</f>
        <v>1481348894</v>
      </c>
      <c r="AW19" s="113">
        <f>SUBTOTAL(109,Tabla1[Total Recursos Pagados])</f>
        <v>1395665561</v>
      </c>
      <c r="AX19" s="108"/>
      <c r="AY19" s="109"/>
      <c r="AZ19" s="109"/>
      <c r="BA19" s="110"/>
      <c r="BB19" s="110"/>
      <c r="BC19" s="111"/>
      <c r="BD19" s="99"/>
      <c r="BE19" s="112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2025-05-13T16:16:04Z</dcterms:modified>
</cp:coreProperties>
</file>