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ndresfarizac/Dropbox/Work/Alcaldía/INDERBU/INDERBU 2.0/TODOS/Planes y Políticas/PDM/Seguimiento/Planes de Acción/2025/"/>
    </mc:Choice>
  </mc:AlternateContent>
  <xr:revisionPtr revIDLastSave="0" documentId="13_ncr:1_{1FE87310-49A8-3F49-91EC-BAC34F7EABE9}" xr6:coauthVersionLast="47" xr6:coauthVersionMax="47" xr10:uidLastSave="{00000000-0000-0000-0000-000000000000}"/>
  <bookViews>
    <workbookView xWindow="0" yWindow="460" windowWidth="27320" windowHeight="13960" activeTab="1" xr2:uid="{00000000-000D-0000-FFFF-FFFF00000000}"/>
  </bookViews>
  <sheets>
    <sheet name="Plan de Acción-proyectos" sheetId="2" r:id="rId1"/>
    <sheet name="Plan de Acción-metas" sheetId="1" r:id="rId2"/>
  </sheets>
  <definedNames>
    <definedName name="_xlnm._FilterDatabase" localSheetId="1" hidden="1">'Plan de Acción-metas'!$A$10:$BE$10</definedName>
    <definedName name="_xlnm._FilterDatabase" localSheetId="0" hidden="1">'Plan de Acción-proyectos'!$A$10:$BE$10</definedName>
    <definedName name="PA" localSheetId="0">'Plan de Acción-proyectos'!$A$9:$BE$18</definedName>
    <definedName name="PA">'Plan de Acción-metas'!$A$9:$BE$18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" l="1"/>
  <c r="R15" i="1"/>
  <c r="R14" i="1"/>
  <c r="R13" i="1"/>
  <c r="R12" i="1"/>
  <c r="AE13" i="2" l="1"/>
  <c r="R18" i="1"/>
  <c r="AG18" i="1"/>
  <c r="AE18" i="1"/>
  <c r="AT18" i="1"/>
  <c r="AV18" i="1"/>
  <c r="AW18" i="1"/>
  <c r="AT19" i="2"/>
  <c r="AT21" i="2" s="1"/>
  <c r="AS19" i="2"/>
  <c r="AS21" i="2" s="1"/>
  <c r="AT11" i="1" l="1"/>
  <c r="AT12" i="1"/>
  <c r="AT13" i="1"/>
  <c r="AT14" i="1"/>
  <c r="AT15" i="1"/>
  <c r="AT16" i="1"/>
  <c r="AT17" i="1"/>
  <c r="AT19" i="1" l="1"/>
  <c r="AT21" i="1" s="1"/>
  <c r="AE11" i="1"/>
  <c r="AE12" i="1"/>
  <c r="AE13" i="1"/>
  <c r="AE19" i="1" s="1"/>
  <c r="AE21" i="1" s="1"/>
  <c r="AE14" i="1"/>
  <c r="AE15" i="1"/>
  <c r="AE16" i="1"/>
  <c r="AE17" i="1"/>
  <c r="AI19" i="2"/>
  <c r="AI21" i="2" s="1"/>
  <c r="AE11" i="2"/>
  <c r="AE12" i="2"/>
  <c r="AE14" i="2"/>
  <c r="AE15" i="2"/>
  <c r="AE16" i="2"/>
  <c r="AE17" i="2"/>
  <c r="AE18" i="2"/>
  <c r="AD19" i="2"/>
  <c r="AD21" i="2" s="1"/>
  <c r="P19" i="2"/>
  <c r="P21" i="2" s="1"/>
  <c r="AC19" i="2"/>
  <c r="AC21" i="2" s="1"/>
  <c r="S19" i="2"/>
  <c r="S21" i="2" s="1"/>
  <c r="AF19" i="2"/>
  <c r="AF21" i="2" s="1"/>
  <c r="AW19" i="2"/>
  <c r="AW21" i="2" s="1"/>
  <c r="AV19" i="2"/>
  <c r="AV21" i="2" s="1"/>
  <c r="AE20" i="2" l="1"/>
  <c r="AE19" i="2"/>
  <c r="AW12" i="1"/>
  <c r="AW13" i="1"/>
  <c r="AW14" i="1"/>
  <c r="AW15" i="1"/>
  <c r="AW16" i="1"/>
  <c r="AW17" i="1"/>
  <c r="AW11" i="1"/>
  <c r="AV12" i="1"/>
  <c r="AV13" i="1"/>
  <c r="AV14" i="1"/>
  <c r="AV15" i="1"/>
  <c r="AV16" i="1"/>
  <c r="AV17" i="1"/>
  <c r="AV11" i="1"/>
  <c r="AS12" i="1"/>
  <c r="AS13" i="1"/>
  <c r="AS14" i="1"/>
  <c r="AS15" i="1"/>
  <c r="AS16" i="1"/>
  <c r="AS17" i="1"/>
  <c r="AS18" i="1"/>
  <c r="AS11" i="1"/>
  <c r="AJ12" i="1"/>
  <c r="AJ13" i="1"/>
  <c r="AJ14" i="1"/>
  <c r="AJ15" i="1"/>
  <c r="AJ16" i="1"/>
  <c r="AJ17" i="1"/>
  <c r="AJ18" i="1"/>
  <c r="AJ11" i="1"/>
  <c r="AG12" i="1"/>
  <c r="AG13" i="1"/>
  <c r="AG14" i="1"/>
  <c r="AG15" i="1"/>
  <c r="AG16" i="1"/>
  <c r="AG17" i="1"/>
  <c r="AG11" i="1"/>
  <c r="AD12" i="1"/>
  <c r="AD13" i="1"/>
  <c r="AD14" i="1"/>
  <c r="AD15" i="1"/>
  <c r="AD16" i="1"/>
  <c r="AD17" i="1"/>
  <c r="AD18" i="1"/>
  <c r="AD11" i="1"/>
  <c r="U12" i="1"/>
  <c r="U13" i="1"/>
  <c r="U14" i="1"/>
  <c r="U15" i="1"/>
  <c r="U16" i="1"/>
  <c r="U17" i="1"/>
  <c r="U18" i="1"/>
  <c r="U11" i="1"/>
  <c r="R11" i="1"/>
  <c r="R19" i="1" s="1"/>
  <c r="R21" i="1" s="1"/>
  <c r="AE21" i="2" l="1"/>
  <c r="AW19" i="1"/>
  <c r="AW21" i="1" s="1"/>
  <c r="U19" i="1"/>
  <c r="AD19" i="1"/>
  <c r="AS19" i="1"/>
  <c r="AS21" i="1" s="1"/>
  <c r="AJ19" i="1"/>
  <c r="AJ21" i="1" s="1"/>
  <c r="AV19" i="1"/>
  <c r="AV21" i="1" s="1"/>
  <c r="AU11" i="1"/>
  <c r="AG19" i="1"/>
  <c r="AG21" i="1" s="1"/>
  <c r="BB11" i="1"/>
  <c r="BB12" i="1"/>
  <c r="BB13" i="1"/>
  <c r="BB14" i="1"/>
  <c r="BB15" i="1"/>
  <c r="BB16" i="1"/>
  <c r="BB17" i="1"/>
  <c r="BB18" i="1"/>
  <c r="AU12" i="1"/>
  <c r="AU13" i="1"/>
  <c r="AU14" i="1"/>
  <c r="AU15" i="1"/>
  <c r="AU16" i="1"/>
  <c r="AU17" i="1"/>
  <c r="AU18" i="1"/>
  <c r="AF11" i="1"/>
  <c r="AF12" i="1"/>
  <c r="AY12" i="1" s="1"/>
  <c r="AF13" i="1"/>
  <c r="AF14" i="1"/>
  <c r="AF15" i="1"/>
  <c r="AF16" i="1"/>
  <c r="AY16" i="1" s="1"/>
  <c r="AF17" i="1"/>
  <c r="AF18" i="1"/>
  <c r="AY18" i="1" s="1"/>
  <c r="P11" i="1"/>
  <c r="P14" i="1"/>
  <c r="P15" i="1"/>
  <c r="P16" i="1"/>
  <c r="P17" i="1"/>
  <c r="P18" i="1"/>
  <c r="P19" i="1" l="1"/>
  <c r="AU19" i="1"/>
  <c r="AU21" i="1" s="1"/>
  <c r="AY14" i="1"/>
  <c r="AF19" i="1"/>
  <c r="AF21" i="1" s="1"/>
  <c r="AX11" i="1"/>
  <c r="AX15" i="1"/>
  <c r="AX17" i="1"/>
  <c r="AX13" i="1"/>
  <c r="AZ18" i="1"/>
  <c r="AZ14" i="1"/>
  <c r="AZ17" i="1"/>
  <c r="AZ13" i="1"/>
  <c r="AZ16" i="1"/>
  <c r="AZ12" i="1"/>
  <c r="AZ15" i="1"/>
  <c r="AZ11" i="1"/>
  <c r="AX18" i="1"/>
  <c r="AX14" i="1"/>
  <c r="AY17" i="1"/>
  <c r="AY13" i="1"/>
  <c r="AX16" i="1"/>
  <c r="AX12" i="1"/>
  <c r="AY15" i="1"/>
  <c r="AY11" i="1"/>
  <c r="BB11" i="2" l="1"/>
  <c r="BB12" i="2"/>
  <c r="BB13" i="2"/>
  <c r="BB14" i="2"/>
  <c r="BB15" i="2"/>
  <c r="BB16" i="2"/>
  <c r="BB17" i="2"/>
  <c r="BB18" i="2"/>
  <c r="AU11" i="2" l="1"/>
  <c r="AU12" i="2"/>
  <c r="AU13" i="2"/>
  <c r="AU14" i="2"/>
  <c r="AU15" i="2"/>
  <c r="AU16" i="2"/>
  <c r="AU17" i="2"/>
  <c r="AU18" i="2"/>
  <c r="AY17" i="2"/>
  <c r="AY18" i="2"/>
  <c r="AY16" i="2"/>
  <c r="AY15" i="2"/>
  <c r="AY14" i="2"/>
  <c r="AY13" i="2"/>
  <c r="AY12" i="2"/>
  <c r="AU19" i="2" l="1"/>
  <c r="AU21" i="2" s="1"/>
  <c r="AY11" i="2"/>
  <c r="AX18" i="2"/>
  <c r="AX14" i="2"/>
  <c r="AX17" i="2"/>
  <c r="AX13" i="2"/>
  <c r="AX16" i="2"/>
  <c r="AX12" i="2"/>
  <c r="AX15" i="2"/>
  <c r="AX11" i="2"/>
  <c r="AZ18" i="2"/>
  <c r="AZ14" i="2"/>
  <c r="AZ17" i="2"/>
  <c r="AZ13" i="2"/>
  <c r="AZ16" i="2"/>
  <c r="AZ12" i="2"/>
  <c r="AZ15" i="2"/>
  <c r="AZ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</author>
  </authors>
  <commentList>
    <comment ref="J10" authorId="0" shapeId="0" xr:uid="{FAFE285C-AFB4-483C-B64C-C15C77F4C75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total del proyecto</t>
        </r>
      </text>
    </comment>
    <comment ref="K10" authorId="0" shapeId="0" xr:uid="{9203291F-9755-4AB9-9A4A-D7A8E650BF31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Valor vigencia 2024 del proyecto</t>
        </r>
      </text>
    </comment>
    <comment ref="L10" authorId="0" shapeId="0" xr:uid="{EF9B838A-9A50-42AC-A15C-47C732D7655C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Si es todo el municipio diligenciar "Municipio de Bucaramanga".
De lo contratio relacionar la comuna o barrio específico.</t>
        </r>
      </text>
    </comment>
    <comment ref="M10" authorId="0" shapeId="0" xr:uid="{D527027A-A6C9-4EC3-8051-267480F0BF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Enfoque diferencial que apunte directamente el producto.</t>
        </r>
      </text>
    </comment>
    <comment ref="N10" authorId="0" shapeId="0" xr:uid="{5E1EB3EA-2CF0-4A80-B41A-4F9BDFC9EDE2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Cuantitativa</t>
        </r>
      </text>
    </comment>
    <comment ref="O10" authorId="0" shapeId="0" xr:uid="{8478DEA0-DBFF-4309-B3C2-48631E4E66ED}">
      <text>
        <r>
          <rPr>
            <b/>
            <sz val="9"/>
            <color indexed="81"/>
            <rFont val="Tahoma"/>
            <family val="2"/>
          </rPr>
          <t>MONICA:</t>
        </r>
        <r>
          <rPr>
            <sz val="9"/>
            <color indexed="81"/>
            <rFont val="Tahoma"/>
            <family val="2"/>
          </rPr>
          <t xml:space="preserve">
De forma general</t>
        </r>
      </text>
    </comment>
  </commentList>
</comments>
</file>

<file path=xl/sharedStrings.xml><?xml version="1.0" encoding="utf-8"?>
<sst xmlns="http://schemas.openxmlformats.org/spreadsheetml/2006/main" count="328" uniqueCount="153">
  <si>
    <t>Responsable</t>
  </si>
  <si>
    <t>Dependencia</t>
  </si>
  <si>
    <t>Actividades Realizadas</t>
  </si>
  <si>
    <t>Número de Beneficiarios</t>
  </si>
  <si>
    <t>Población Beneficiada</t>
  </si>
  <si>
    <t>Comuna o Barrio Beneficiado</t>
  </si>
  <si>
    <t>Valor Vigencia Proyecto</t>
  </si>
  <si>
    <t>Valor del Proyecto</t>
  </si>
  <si>
    <t>Nombre del Proyecto</t>
  </si>
  <si>
    <t>Porcentaje Avance Vigencia</t>
  </si>
  <si>
    <t>Meta Programada Vigencia</t>
  </si>
  <si>
    <t>Tipo de Meta</t>
  </si>
  <si>
    <t>Indicador de Producto</t>
  </si>
  <si>
    <t>Cod. Indicador de Producto</t>
  </si>
  <si>
    <t>Meta de Producto</t>
  </si>
  <si>
    <t>Cod. de Producto</t>
  </si>
  <si>
    <t>Programa</t>
  </si>
  <si>
    <t>Cod. Programa</t>
  </si>
  <si>
    <t>Sector</t>
  </si>
  <si>
    <t>Linea Estratégica</t>
  </si>
  <si>
    <t xml:space="preserve"> Consecutivo PDM</t>
  </si>
  <si>
    <t>ODS</t>
  </si>
  <si>
    <t>RESPONSABLES</t>
  </si>
  <si>
    <t>RECURSOS EJECUTADOS</t>
  </si>
  <si>
    <t>RECURSOS PROGRAMADOS</t>
  </si>
  <si>
    <t>PROYECTOS DE INVERSION</t>
  </si>
  <si>
    <t>CUMPLIMIENTO DE LA META</t>
  </si>
  <si>
    <t>PDM 2024-2027</t>
  </si>
  <si>
    <t>VIGENCIA</t>
  </si>
  <si>
    <r>
      <t>Unidad de Medida</t>
    </r>
    <r>
      <rPr>
        <b/>
        <sz val="12"/>
        <color rgb="FF002060"/>
        <rFont val="Arial"/>
        <family val="2"/>
      </rPr>
      <t>2</t>
    </r>
  </si>
  <si>
    <t>LÍnea Base</t>
  </si>
  <si>
    <t>PLAN DE ACCION</t>
  </si>
  <si>
    <t>Código:  F-DPM-10100-238,37-060</t>
  </si>
  <si>
    <r>
      <t>Meta Programada Cuatrienio</t>
    </r>
    <r>
      <rPr>
        <b/>
        <sz val="12"/>
        <color rgb="FF002060"/>
        <rFont val="Arial"/>
        <family val="2"/>
      </rPr>
      <t>3</t>
    </r>
  </si>
  <si>
    <t>Código BPIN</t>
  </si>
  <si>
    <t>Total Recursos Obligados</t>
  </si>
  <si>
    <t>Total Recursos Pagados</t>
  </si>
  <si>
    <t>Total 2024</t>
  </si>
  <si>
    <r>
      <t>SGP Salud 2024</t>
    </r>
    <r>
      <rPr>
        <b/>
        <sz val="12"/>
        <color rgb="FF002060"/>
        <rFont val="Arial"/>
        <family val="2"/>
      </rPr>
      <t>4</t>
    </r>
  </si>
  <si>
    <t>Logro Vigencia</t>
  </si>
  <si>
    <t>Ejecución Recursos Pagados</t>
  </si>
  <si>
    <t>Ejecución Recursos Obligados</t>
  </si>
  <si>
    <t>Nivel de Gestión</t>
  </si>
  <si>
    <t>Ejecución Recursos Comprometidos</t>
  </si>
  <si>
    <t>EJECUCIÓN PRESUPUESTAL</t>
  </si>
  <si>
    <t>Total Recursos Gestionados2</t>
  </si>
  <si>
    <t>GESTIÓN DE RECURSOS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</si>
  <si>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</si>
  <si>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</si>
  <si>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</si>
  <si>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</si>
  <si>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</si>
  <si>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</si>
  <si>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</si>
  <si>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</si>
  <si>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</si>
  <si>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</si>
  <si>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Transferencias de capital - cofinanciación departamento</t>
  </si>
  <si>
    <t>Transferencias de capital - cofinanciación nación</t>
  </si>
  <si>
    <t>Otros</t>
  </si>
  <si>
    <t>Recursos propios2</t>
  </si>
  <si>
    <t>SGP Educación2</t>
  </si>
  <si>
    <t>Porcentaje Avance VigenciaR</t>
  </si>
  <si>
    <t>Recursos del Balance</t>
  </si>
  <si>
    <t>Recursos del Balance2</t>
  </si>
  <si>
    <t>Territorio seguro que protege</t>
  </si>
  <si>
    <t>Inclusión social y reconciliación</t>
  </si>
  <si>
    <t>4102</t>
  </si>
  <si>
    <t>Desarrollo integral de la primera infancia a la juventud, y fortalecimiento de las capacidades de las familias de niñas, niños y adolescentes (4102)</t>
  </si>
  <si>
    <t>4102043</t>
  </si>
  <si>
    <t>Atender 5000 familias con servicios de promoción en temas de dinámica relacional y desarrollo autónomo</t>
  </si>
  <si>
    <t>Territorio seguro que integra</t>
  </si>
  <si>
    <t>Deporte y recreación</t>
  </si>
  <si>
    <t>4301</t>
  </si>
  <si>
    <t>Fomento a la recreación, la actividad física y el deporte (4301).</t>
  </si>
  <si>
    <t>4301007</t>
  </si>
  <si>
    <t>Vincular a 15.000  niños, niñas, adolescentes y jóvenes en escuelas deportivas del municipio</t>
  </si>
  <si>
    <t>4301037</t>
  </si>
  <si>
    <t>Vincular a 195.000 personas para que accedan a servicios deportivos, recreativos (deporte socio comunitario y recreación) de actividad física (HEVS, VAS- activas tu barrio y activas tu vereda), centros de educación física y/o Intercolegiados en el municipio.</t>
  </si>
  <si>
    <t>4301001</t>
  </si>
  <si>
    <t>Beneficiar a 20.000 personas  con servicio de apoyo a la actividad física, la recreación y el deporte en organismos de deporte asociado</t>
  </si>
  <si>
    <t>4301003</t>
  </si>
  <si>
    <t>Poner en operación 18 infraestructuras deportivas en el municipio</t>
  </si>
  <si>
    <t>4301004</t>
  </si>
  <si>
    <t>Mantener 80 infraestructuras deportivas en el municipio</t>
  </si>
  <si>
    <t xml:space="preserve"> Desarrollo integral de la primera infancia a la juventud, y fortalecimiento de las capacidades de las familias de niñas, niños y adolescentes (4102)</t>
  </si>
  <si>
    <t>4102050</t>
  </si>
  <si>
    <t>Mejorar la dotacion de 9 casas de la juventud</t>
  </si>
  <si>
    <t>4102042</t>
  </si>
  <si>
    <t>Ejecutar 9 acciones con las comunidades para el fortalecimiento del tejido social y construcción de escenarios protectores de derechos en el municipio</t>
  </si>
  <si>
    <t>2024680010177</t>
  </si>
  <si>
    <t>FORTALECIMIENTO DE ENTORNOS SOCIALES PROTECTORES PARA LOS JÓVENES DEL MUNICIPIO DE BUCARAMANGA</t>
  </si>
  <si>
    <t>Actividad 6: Disponer de la operatividad necesaria para el desarrollo de los procesos y estrategias del programa de juventud.</t>
  </si>
  <si>
    <t>FORTALECIMIENTO DE LOS PROCESOS DE FORMACIÓN Y PRÁCTICA DE ACTIVIDADES FÍSICAS, DEPORTIVAS Y RECREATIVAS EN EL MUNICIPIO DE BUCARAMANGA</t>
  </si>
  <si>
    <t>Todos los barrios y comunas de Bucaramanga</t>
  </si>
  <si>
    <t>Infancia (6 a 11 años)
Adolescencia (12 a 18 años)</t>
  </si>
  <si>
    <t>Actividad 7: Contar con la operatividad requerida para el buen desarrollo de las escuelas de iniciación y formación deportiva.</t>
  </si>
  <si>
    <t>Toda la población de Bucaramanga</t>
  </si>
  <si>
    <t>Actividad 1: Disponer de la operatividad necesaria para el desarrollo de los procesos Hábitos y estilos de vida saludable.
 Actividad 2: Disponer de la operatividad necesaria para el desarrollo de los procesos Vías activas saludables.</t>
  </si>
  <si>
    <t>APOYO A LOS ORGANISMOS DEL DEPORTE ASOCIADO DEL MUNICIPIO DE BUCARAMANGA</t>
  </si>
  <si>
    <t>Actividad 1: Brindar apoyo a las organismos deportivos asociadas en sus iniciativas y participación en eventos deportivos locales, regionales, nacionales e internacionales.
Actividad 2: Realizar acompañamiento para la orientación integral a los diferentes organismos deportivos</t>
  </si>
  <si>
    <t>ADMINISTRACIÓN DE LOS ESCENARIOS DEPORTIVOS Y RECREATIVOS EN EL MUNICIPIO DE BUCARAMANGA</t>
  </si>
  <si>
    <t xml:space="preserve">TODAS LA COMUNAS </t>
  </si>
  <si>
    <t xml:space="preserve">TODA LA POBLACIÓN BUCARAMANGA </t>
  </si>
  <si>
    <t>Actividad 6:Prestar el servicios de personal profesional y especializado para apoyar los diversos procesos administrativos en la subdirección.</t>
  </si>
  <si>
    <t>Actividad 13: Prestar servicios de personal profesional y de apoyo en las diferentes áreas de mantenimiento para las adecuaciones menores de los escenarios deportivos.</t>
  </si>
  <si>
    <t xml:space="preserve"> Actividad 3:  Dotar las casas de la juventud para integrar el desarrollo de la oferta institucional y fortalecimiento del tejido social.</t>
  </si>
  <si>
    <t>Jóvenes (18 a 28 años)</t>
  </si>
  <si>
    <t>Actividad 2: Fortalecer el tejido social y los escenarios protectores de los jóvenes de la ciudad.</t>
  </si>
  <si>
    <t>INDERBU</t>
  </si>
  <si>
    <t>3, 10</t>
  </si>
  <si>
    <t>Número de familias atendidas (410204300)</t>
  </si>
  <si>
    <t>Número</t>
  </si>
  <si>
    <t>Niños, niñas, adolescentes y jóvenes inscritos en Escuelas Deportivas (430100700)</t>
  </si>
  <si>
    <t>Personas que acceden a servicios deportivos, recreativos y de actividad física (430103700)</t>
  </si>
  <si>
    <t>Personas beneficiadas (430100100)</t>
  </si>
  <si>
    <t>Infraestructura deportiva en operación (430100300)</t>
  </si>
  <si>
    <t>Infraestructura deportiva mantenida (430100400)</t>
  </si>
  <si>
    <t>Edificaciones de atención a la adolescencia y juventud dotadas (410205000)</t>
  </si>
  <si>
    <t>Acciones ejecutadas con las comunidades-redes de apoyo social
 (410204200)</t>
  </si>
  <si>
    <t>Acumulativa</t>
  </si>
  <si>
    <t>No Acumulativa</t>
  </si>
  <si>
    <t>Versión:3.0</t>
  </si>
  <si>
    <t>Fecha aprobación: Abril 10 de 2025</t>
  </si>
  <si>
    <t>Página: 1 de 2</t>
  </si>
  <si>
    <t>Página: 2 de 2</t>
  </si>
  <si>
    <t xml:space="preserve">SGP Libre destinación </t>
  </si>
  <si>
    <r>
      <t>SGP Libre inversión</t>
    </r>
    <r>
      <rPr>
        <b/>
        <sz val="12"/>
        <color rgb="FF002060"/>
        <rFont val="Arial"/>
        <family val="2"/>
      </rPr>
      <t>7</t>
    </r>
  </si>
  <si>
    <t xml:space="preserve">SGP Cultura </t>
  </si>
  <si>
    <t xml:space="preserve">SGP Deporte </t>
  </si>
  <si>
    <t>SGP Alimentación escolar2</t>
  </si>
  <si>
    <r>
      <t xml:space="preserve">SGP APSB </t>
    </r>
    <r>
      <rPr>
        <b/>
        <sz val="12"/>
        <color rgb="FF002060"/>
        <rFont val="Arial"/>
        <family val="2"/>
      </rPr>
      <t>1</t>
    </r>
  </si>
  <si>
    <t>Crédito2</t>
  </si>
  <si>
    <t xml:space="preserve">Transferencias de capital - cofinanciación departamento </t>
  </si>
  <si>
    <t xml:space="preserve">Transferencias de capital - cofinanciación nación </t>
  </si>
  <si>
    <t xml:space="preserve">Otros </t>
  </si>
  <si>
    <t>Total Recursos Comprometido</t>
  </si>
  <si>
    <t xml:space="preserve">SGP Salud </t>
  </si>
  <si>
    <t xml:space="preserve">SGP Alimentación escolar </t>
  </si>
  <si>
    <t xml:space="preserve">SGP Municipios río Magdalena </t>
  </si>
  <si>
    <t xml:space="preserve">SGP APSB </t>
  </si>
  <si>
    <t xml:space="preserve">Crédito </t>
  </si>
  <si>
    <t>Total</t>
  </si>
  <si>
    <t xml:space="preserve">Recursos propios </t>
  </si>
  <si>
    <t xml:space="preserve">SGP Educación </t>
  </si>
  <si>
    <t>SGP Salud 2</t>
  </si>
  <si>
    <t>SGP Deporte2</t>
  </si>
  <si>
    <t>SGP Cultura 2</t>
  </si>
  <si>
    <t xml:space="preserve">SGP Libre inversión </t>
  </si>
  <si>
    <t>SGP Municipios río Magdalena</t>
  </si>
  <si>
    <t>Transferencias de capital - cofinanciación nación 2</t>
  </si>
  <si>
    <t>Otros 2</t>
  </si>
  <si>
    <t>SANDRA MILENA RODRÍGUEZ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</si>
</sst>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&quot;$&quot;\ #,##0;[Red]\-&quot;$&quot;\ #,##0"/>
    <numFmt numFmtId="165" formatCode="&quot;$&quot;\ #,##0.00;[Red]\-&quot;$&quot;\ #,##0.00"/>
    <numFmt numFmtId="166" formatCode="_-&quot;$&quot;\ * #,##0.00_-;\-&quot;$&quot;\ * #,##0.00_-;_-&quot;$&quot;\ * &quot;-&quot;??_-;_-@_-"/>
    <numFmt numFmtId="167" formatCode="_-&quot;$&quot;\ * #,##0.00_-;\-&quot;$&quot;\ * #,##0.00_-;_-&quot;$&quot;\ * &quot;-&quot;??_-;_-@"/>
    <numFmt numFmtId="168" formatCode="_-[$$-240A]\ * #,##0.00_-;\-[$$-240A]\ * #,##0.00_-;_-[$$-240A]\ * &quot;-&quot;??_-;_-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ptos Narrow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2"/>
      <color rgb="FF002060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166" fontId="12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 applyProtection="1">
      <alignment horizontal="center" vertical="center"/>
      <protection locked="0"/>
    </xf>
    <xf numFmtId="9" fontId="13" fillId="0" borderId="20" xfId="1" applyFont="1" applyFill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 wrapText="1"/>
      <protection locked="0"/>
    </xf>
    <xf numFmtId="9" fontId="13" fillId="0" borderId="21" xfId="1" applyFont="1" applyBorder="1" applyAlignment="1" applyProtection="1">
      <alignment horizontal="center" vertical="center" wrapText="1"/>
      <protection locked="0"/>
    </xf>
    <xf numFmtId="166" fontId="13" fillId="0" borderId="21" xfId="0" applyNumberFormat="1" applyFont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166" fontId="13" fillId="0" borderId="21" xfId="0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13" fillId="0" borderId="1" xfId="1" applyFont="1" applyFill="1" applyBorder="1" applyAlignment="1" applyProtection="1">
      <alignment horizontal="center" vertical="center"/>
      <protection locked="0"/>
    </xf>
    <xf numFmtId="9" fontId="13" fillId="0" borderId="21" xfId="1" applyFont="1" applyFill="1" applyBorder="1" applyAlignment="1" applyProtection="1">
      <alignment horizontal="center" vertical="center"/>
      <protection locked="0"/>
    </xf>
    <xf numFmtId="166" fontId="14" fillId="0" borderId="1" xfId="0" applyNumberFormat="1" applyFont="1" applyBorder="1" applyAlignment="1" applyProtection="1">
      <alignment horizontal="center" vertical="center"/>
      <protection locked="0"/>
    </xf>
    <xf numFmtId="9" fontId="2" fillId="0" borderId="0" xfId="1" applyFont="1" applyAlignment="1">
      <alignment horizontal="center" vertical="center"/>
    </xf>
    <xf numFmtId="9" fontId="4" fillId="0" borderId="0" xfId="1" applyFont="1" applyAlignment="1">
      <alignment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/>
      <protection locked="0"/>
    </xf>
    <xf numFmtId="9" fontId="13" fillId="0" borderId="1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9" fontId="13" fillId="0" borderId="1" xfId="1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9" fontId="5" fillId="2" borderId="18" xfId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9" fontId="13" fillId="3" borderId="1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9" fontId="13" fillId="3" borderId="21" xfId="1" applyFont="1" applyFill="1" applyBorder="1" applyAlignment="1">
      <alignment horizontal="center" vertical="center" wrapText="1"/>
    </xf>
    <xf numFmtId="9" fontId="13" fillId="0" borderId="21" xfId="1" applyFont="1" applyBorder="1" applyAlignment="1">
      <alignment horizontal="center" vertical="center"/>
    </xf>
    <xf numFmtId="9" fontId="13" fillId="0" borderId="21" xfId="1" applyFont="1" applyFill="1" applyBorder="1" applyAlignment="1">
      <alignment horizontal="center" vertical="center"/>
    </xf>
    <xf numFmtId="9" fontId="13" fillId="0" borderId="21" xfId="1" applyFont="1" applyBorder="1" applyAlignment="1">
      <alignment horizontal="center" vertical="center" wrapText="1"/>
    </xf>
    <xf numFmtId="166" fontId="14" fillId="0" borderId="21" xfId="0" applyNumberFormat="1" applyFont="1" applyBorder="1" applyAlignment="1" applyProtection="1">
      <alignment horizontal="center" vertical="center" wrapText="1"/>
      <protection locked="0"/>
    </xf>
    <xf numFmtId="166" fontId="14" fillId="0" borderId="21" xfId="0" applyNumberFormat="1" applyFont="1" applyBorder="1" applyAlignment="1" applyProtection="1">
      <alignment horizontal="center" vertical="center"/>
      <protection locked="0"/>
    </xf>
    <xf numFmtId="9" fontId="13" fillId="0" borderId="20" xfId="1" applyFont="1" applyBorder="1" applyAlignment="1" applyProtection="1">
      <alignment horizontal="center" vertical="center"/>
      <protection locked="0"/>
    </xf>
    <xf numFmtId="9" fontId="13" fillId="0" borderId="21" xfId="1" applyFont="1" applyBorder="1" applyAlignment="1" applyProtection="1">
      <alignment horizontal="center" vertical="center"/>
      <protection locked="0"/>
    </xf>
    <xf numFmtId="9" fontId="13" fillId="0" borderId="8" xfId="1" applyFont="1" applyBorder="1" applyAlignment="1" applyProtection="1">
      <alignment horizontal="center" vertical="center" wrapText="1"/>
      <protection locked="0"/>
    </xf>
    <xf numFmtId="9" fontId="13" fillId="0" borderId="8" xfId="1" applyFont="1" applyBorder="1" applyAlignment="1" applyProtection="1">
      <alignment horizontal="center" vertical="center"/>
      <protection locked="0"/>
    </xf>
    <xf numFmtId="9" fontId="13" fillId="0" borderId="8" xfId="1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 wrapText="1"/>
    </xf>
    <xf numFmtId="1" fontId="16" fillId="0" borderId="20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167" fontId="16" fillId="0" borderId="20" xfId="0" applyNumberFormat="1" applyFont="1" applyBorder="1" applyAlignment="1">
      <alignment horizontal="center" vertical="center" wrapText="1"/>
    </xf>
    <xf numFmtId="166" fontId="13" fillId="0" borderId="8" xfId="0" applyNumberFormat="1" applyFont="1" applyBorder="1" applyAlignment="1" applyProtection="1">
      <alignment horizontal="center" vertical="center" wrapText="1"/>
      <protection locked="0"/>
    </xf>
    <xf numFmtId="166" fontId="13" fillId="0" borderId="8" xfId="0" applyNumberFormat="1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13" fillId="0" borderId="8" xfId="0" applyNumberFormat="1" applyFont="1" applyBorder="1" applyAlignment="1" applyProtection="1">
      <alignment horizontal="center" vertical="center" wrapText="1"/>
      <protection locked="0"/>
    </xf>
    <xf numFmtId="3" fontId="13" fillId="0" borderId="8" xfId="0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Border="1" applyAlignment="1" applyProtection="1">
      <alignment horizontal="center" vertical="center" wrapText="1"/>
      <protection locked="0"/>
    </xf>
    <xf numFmtId="166" fontId="13" fillId="0" borderId="10" xfId="1" applyNumberFormat="1" applyFont="1" applyBorder="1" applyAlignment="1" applyProtection="1">
      <alignment horizontal="center" vertical="center"/>
      <protection locked="0"/>
    </xf>
    <xf numFmtId="166" fontId="13" fillId="0" borderId="10" xfId="1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66" fontId="13" fillId="0" borderId="20" xfId="0" applyNumberFormat="1" applyFont="1" applyBorder="1" applyAlignment="1" applyProtection="1">
      <alignment horizontal="center" vertical="center" wrapText="1"/>
      <protection locked="0"/>
    </xf>
    <xf numFmtId="166" fontId="13" fillId="0" borderId="20" xfId="2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166" fontId="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/>
    </xf>
    <xf numFmtId="9" fontId="14" fillId="0" borderId="46" xfId="0" applyNumberFormat="1" applyFont="1" applyBorder="1" applyAlignment="1">
      <alignment horizontal="center" vertical="center"/>
    </xf>
    <xf numFmtId="165" fontId="13" fillId="0" borderId="47" xfId="0" applyNumberFormat="1" applyFont="1" applyBorder="1" applyAlignment="1" applyProtection="1">
      <alignment horizontal="center" vertical="center"/>
      <protection locked="0"/>
    </xf>
    <xf numFmtId="166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166" fontId="14" fillId="0" borderId="46" xfId="0" applyNumberFormat="1" applyFont="1" applyBorder="1" applyAlignment="1" applyProtection="1">
      <alignment horizontal="center" vertical="center"/>
      <protection locked="0"/>
    </xf>
    <xf numFmtId="9" fontId="13" fillId="0" borderId="46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/>
    </xf>
    <xf numFmtId="166" fontId="3" fillId="0" borderId="47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>
      <alignment horizontal="center" vertical="center" wrapText="1"/>
    </xf>
    <xf numFmtId="166" fontId="2" fillId="0" borderId="0" xfId="2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5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16" fillId="0" borderId="1" xfId="2" applyFont="1" applyBorder="1" applyAlignment="1">
      <alignment horizontal="center" vertical="center" wrapText="1"/>
    </xf>
    <xf numFmtId="166" fontId="14" fillId="0" borderId="46" xfId="0" applyNumberFormat="1" applyFont="1" applyBorder="1" applyAlignment="1">
      <alignment horizontal="center" vertical="center"/>
    </xf>
    <xf numFmtId="166" fontId="13" fillId="0" borderId="47" xfId="0" applyNumberFormat="1" applyFont="1" applyBorder="1" applyAlignment="1" applyProtection="1">
      <alignment horizontal="center" vertical="center"/>
      <protection locked="0"/>
    </xf>
    <xf numFmtId="9" fontId="13" fillId="0" borderId="47" xfId="0" applyNumberFormat="1" applyFont="1" applyBorder="1" applyAlignment="1" applyProtection="1">
      <alignment horizontal="center" vertical="center"/>
      <protection locked="0"/>
    </xf>
    <xf numFmtId="166" fontId="3" fillId="0" borderId="49" xfId="0" applyNumberFormat="1" applyFont="1" applyBorder="1" applyAlignment="1" applyProtection="1">
      <alignment horizontal="center" vertical="center"/>
      <protection locked="0"/>
    </xf>
    <xf numFmtId="4" fontId="2" fillId="0" borderId="0" xfId="0" applyNumberFormat="1" applyFont="1" applyAlignment="1">
      <alignment horizontal="center" vertical="center"/>
    </xf>
    <xf numFmtId="166" fontId="18" fillId="0" borderId="1" xfId="0" applyNumberFormat="1" applyFont="1" applyBorder="1" applyAlignment="1" applyProtection="1">
      <alignment horizontal="center" vertical="center"/>
      <protection locked="0"/>
    </xf>
    <xf numFmtId="166" fontId="18" fillId="0" borderId="1" xfId="0" applyNumberFormat="1" applyFont="1" applyBorder="1" applyAlignment="1" applyProtection="1">
      <alignment horizontal="center" vertical="center" wrapText="1"/>
      <protection locked="0"/>
    </xf>
    <xf numFmtId="166" fontId="18" fillId="0" borderId="21" xfId="0" applyNumberFormat="1" applyFont="1" applyBorder="1" applyAlignment="1" applyProtection="1">
      <alignment horizontal="center" vertical="center" wrapText="1"/>
      <protection locked="0"/>
    </xf>
    <xf numFmtId="166" fontId="18" fillId="0" borderId="20" xfId="0" applyNumberFormat="1" applyFont="1" applyBorder="1" applyAlignment="1" applyProtection="1">
      <alignment horizontal="center" vertical="center"/>
      <protection locked="0"/>
    </xf>
    <xf numFmtId="165" fontId="13" fillId="0" borderId="20" xfId="0" applyNumberFormat="1" applyFont="1" applyBorder="1" applyAlignment="1" applyProtection="1">
      <alignment horizontal="center" vertical="center"/>
      <protection locked="0"/>
    </xf>
    <xf numFmtId="165" fontId="18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0" xfId="2" applyNumberFormat="1" applyFont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9" fontId="5" fillId="2" borderId="4" xfId="1" applyFont="1" applyFill="1" applyBorder="1" applyAlignment="1">
      <alignment horizontal="center" vertical="center" wrapText="1"/>
    </xf>
    <xf numFmtId="9" fontId="5" fillId="2" borderId="3" xfId="1" applyFont="1" applyFill="1" applyBorder="1" applyAlignment="1">
      <alignment horizontal="center" vertical="center" wrapText="1"/>
    </xf>
    <xf numFmtId="9" fontId="5" fillId="2" borderId="12" xfId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7" xfId="0" applyFont="1" applyBorder="1" applyAlignment="1">
      <alignment vertical="center"/>
    </xf>
  </cellXfs>
  <cellStyles count="3">
    <cellStyle name="Currency" xfId="2" builtinId="4"/>
    <cellStyle name="Normal" xfId="0" builtinId="0"/>
    <cellStyle name="Percent" xfId="1" builtinId="5"/>
  </cellStyles>
  <dxfs count="2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5" formatCode="&quot;$&quot;\ #,##0.00;[Red]\-&quot;$&quot;\ 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3" formatCode="0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6" formatCode="_-&quot;$&quot;\ * #,##0.00_-;\-&quot;$&quot;\ * #,##0.00_-;_-&quot;$&quot;\ 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_-&quot;$&quot;\ * #,##0.00_-;\-&quot;$&quot;\ * #,##0.00_-;_-&quot;$&quot;\ * &quot;-&quot;??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&quot;$&quot;\ #,##0;[Red]\-&quot;$&quot;\ 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7" formatCode="_-&quot;$&quot;\ * #,##0.00_-;\-&quot;$&quot;\ * #,##0.00_-;_-&quot;$&quot;\ * &quot;-&quot;??_-;_-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theme="6" tint="0.39994506668294322"/>
          <bgColor theme="6" tint="0.39994506668294322"/>
        </patternFill>
      </fill>
    </dxf>
    <dxf>
      <fill>
        <patternFill>
          <bgColor theme="9" tint="0.39994506668294322"/>
        </patternFill>
      </fill>
    </dxf>
  </dxfs>
  <tableStyles count="4" defaultTableStyle="TableStyleMedium2" defaultPivotStyle="PivotStyleLight16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1" xr9:uid="{00000000-0011-0000-FFFF-FFFF02000000}">
      <tableStyleElement type="firstRowStripe" dxfId="237"/>
    </tableStyle>
    <tableStyle name="Estilo de tabla 4" pivot="0" count="1" xr9:uid="{00000000-0011-0000-FFFF-FFFF03000000}">
      <tableStyleElement type="firstRowStripe" dxfId="2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222249</xdr:rowOff>
    </xdr:from>
    <xdr:to>
      <xdr:col>1</xdr:col>
      <xdr:colOff>1111250</xdr:colOff>
      <xdr:row>3</xdr:row>
      <xdr:rowOff>146680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3A8915-14AD-4E61-8438-DC2369F48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22249"/>
          <a:ext cx="1130300" cy="1067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1119187</xdr:colOff>
      <xdr:row>0</xdr:row>
      <xdr:rowOff>190499</xdr:rowOff>
    </xdr:from>
    <xdr:to>
      <xdr:col>1</xdr:col>
      <xdr:colOff>904873</xdr:colOff>
      <xdr:row>3</xdr:row>
      <xdr:rowOff>203882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A73E22-8428-4A66-9722-909B651E5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" y="190499"/>
          <a:ext cx="1233486" cy="115638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EA0680-D7F0-4E45-8C53-F3D40F6ED9A3}" name="Tabla13" displayName="Tabla13" ref="A10:BE19" totalsRowCount="1" headerRowDxfId="235" dataDxfId="233" headerRowBorderDxfId="234" tableBorderDxfId="232">
  <tableColumns count="57">
    <tableColumn id="1" xr3:uid="{EB7A6DCA-A0C7-47C3-B033-F4528EC93E60}" name=" Consecutivo PDM" dataDxfId="231" totalsRowDxfId="56"/>
    <tableColumn id="2" xr3:uid="{463DDE45-D9C0-427C-876E-701990203745}" name="Linea Estratégica" dataDxfId="230" totalsRowDxfId="55"/>
    <tableColumn id="5" xr3:uid="{3F6CBF04-3038-493D-9682-3701A5F64050}" name="Sector" dataDxfId="229" totalsRowDxfId="54"/>
    <tableColumn id="14" xr3:uid="{C11AD105-DD89-4732-A7CA-BD37967696DF}" name="Cod. Programa" dataDxfId="228" totalsRowDxfId="53"/>
    <tableColumn id="15" xr3:uid="{0E80F163-E33F-4059-8A6D-425421785157}" name="Programa" dataDxfId="227" totalsRowDxfId="52"/>
    <tableColumn id="16" xr3:uid="{030A06D0-4CAD-4AA4-836C-055B51F3E366}" name="Cod. de Producto" dataDxfId="226" totalsRowDxfId="51"/>
    <tableColumn id="17" xr3:uid="{C8A8A252-971B-46DE-A280-F5F6B94D95FB}" name="Meta de Producto" dataDxfId="225" totalsRowDxfId="50"/>
    <tableColumn id="28" xr3:uid="{D2220855-F18C-4C23-97C3-B913C5604BE3}" name="Código BPIN" dataDxfId="224" totalsRowDxfId="49"/>
    <tableColumn id="29" xr3:uid="{2988837A-C189-4EB2-A3A7-C72D275C10FC}" name="Nombre del Proyecto" dataDxfId="223" totalsRowDxfId="48"/>
    <tableColumn id="30" xr3:uid="{60B15235-8E9A-45AF-BA43-52B409138BD8}" name="Valor del Proyecto" dataDxfId="222" totalsRowDxfId="47"/>
    <tableColumn id="31" xr3:uid="{4CBE52FC-B38C-45BE-AE0F-38D6926E5FE9}" name="Valor Vigencia Proyecto" dataDxfId="221" totalsRowDxfId="46"/>
    <tableColumn id="32" xr3:uid="{43542CFE-EAE4-4672-BA1D-9ACEA14EF3E9}" name="Comuna o Barrio Beneficiado" dataDxfId="220" totalsRowDxfId="45"/>
    <tableColumn id="33" xr3:uid="{F3E4F841-537F-477A-BD24-B3AE219A4B56}" name="Población Beneficiada" dataDxfId="219" totalsRowDxfId="44"/>
    <tableColumn id="34" xr3:uid="{30C29307-C069-4E12-B76E-E74173BA9DD7}" name="Número de Beneficiarios" dataDxfId="218" totalsRowDxfId="43"/>
    <tableColumn id="44" xr3:uid="{87501701-C5C8-4D1E-977A-2F68FA1ABCDB}" name="Actividades Realizadas" dataDxfId="217" totalsRowDxfId="42"/>
    <tableColumn id="46" xr3:uid="{FA3951BE-454D-4721-9E26-A4CB1F1CB97C}" name="Recursos propios" totalsRowFunction="sum" dataDxfId="216" totalsRowDxfId="41"/>
    <tableColumn id="47" xr3:uid="{9B2BE016-02E8-4AD2-9B0C-986A5117BCF4}" name="SGP Educación" dataDxfId="215" totalsRowDxfId="40"/>
    <tableColumn id="48" xr3:uid="{CB8E25BB-07F2-4DA6-8731-E6EA8E2437DA}" name="SGP Salud " dataDxfId="214" totalsRowDxfId="39"/>
    <tableColumn id="36" xr3:uid="{F6F860CF-B23C-4C9B-B872-088ED49A75FA}" name="SGP Deporte" totalsRowFunction="sum" dataDxfId="213" totalsRowDxfId="38"/>
    <tableColumn id="35" xr3:uid="{A4AF6B92-6184-4F1B-BD4A-DD0E8A471DE1}" name="SGP Cultura " dataDxfId="212" totalsRowDxfId="37"/>
    <tableColumn id="13" xr3:uid="{BB5E4F27-06C5-47A4-9A15-1D28297D6C3C}" name="SGP Libre inversión" dataDxfId="211" totalsRowDxfId="36"/>
    <tableColumn id="12" xr3:uid="{26BFBCF0-EAA5-4173-8CDE-77098DB6DCD4}" name="SGP Libre destinación " dataDxfId="210" totalsRowDxfId="35"/>
    <tableColumn id="11" xr3:uid="{200E50F1-6FF3-469B-BF6C-F89FD62ED470}" name="SGP Alimentación escolar " dataDxfId="209" totalsRowDxfId="34"/>
    <tableColumn id="10" xr3:uid="{74FD013A-6A91-4C29-A5E2-783B4C2777A5}" name="SGP Municipios río Magdalena " dataDxfId="208" totalsRowDxfId="33"/>
    <tableColumn id="9" xr3:uid="{0D70F7E5-4918-446E-801C-DAADBE8D861C}" name="SGP APSB " dataDxfId="207" totalsRowDxfId="32"/>
    <tableColumn id="8" xr3:uid="{C247B0D9-B24D-4058-AD23-2CBFE05BB0A7}" name="Crédito " dataDxfId="206" totalsRowDxfId="31"/>
    <tableColumn id="7" xr3:uid="{3EDAE4F0-9BC2-4511-ACA1-34CA47649CBF}" name="Transferencias de capital - cofinanciación departamento" dataDxfId="205" totalsRowDxfId="30"/>
    <tableColumn id="6" xr3:uid="{757C5EFA-C93B-42E1-88CD-BD895D93A842}" name="Transferencias de capital - cofinanciación nación " dataDxfId="204" totalsRowDxfId="29"/>
    <tableColumn id="49" xr3:uid="{A4919CB0-735C-4D31-915E-94B24E58D898}" name="Otros " totalsRowFunction="sum" dataDxfId="203" totalsRowDxfId="28"/>
    <tableColumn id="3" xr3:uid="{37AA396F-53B7-421C-A549-23A9482C587B}" name="Recursos del Balance" totalsRowFunction="sum" dataDxfId="202" totalsRowDxfId="27"/>
    <tableColumn id="50" xr3:uid="{52F03E04-26AA-4226-B9C3-7D46500C4C61}" name="Total" totalsRowFunction="sum" dataDxfId="201" totalsRowDxfId="26">
      <calculatedColumnFormula>SUM(Tabla13[[#This Row],[Recursos propios]:[Recursos del Balance]])</calculatedColumnFormula>
    </tableColumn>
    <tableColumn id="51" xr3:uid="{E948F90D-CDCC-48E4-AEFB-E691078D4E88}" name="Recursos propios " totalsRowFunction="sum" dataDxfId="200" totalsRowDxfId="25"/>
    <tableColumn id="52" xr3:uid="{FB0BE50F-710B-42A0-BE02-26FBB85DFAC6}" name="SGP Educación " dataDxfId="199" totalsRowDxfId="24"/>
    <tableColumn id="53" xr3:uid="{3CF98806-E614-494E-9B93-272D7B6FEEB9}" name="SGP Salud 2" dataDxfId="198" totalsRowDxfId="23"/>
    <tableColumn id="62" xr3:uid="{849F44EC-6EFB-435E-A7D6-24F4A2FF9670}" name="SGP Deporte2" totalsRowFunction="sum" dataDxfId="197" totalsRowDxfId="22"/>
    <tableColumn id="61" xr3:uid="{75AF0917-DEB9-45A9-AF5B-990F4181B256}" name="SGP Cultura 2" dataDxfId="196" totalsRowDxfId="21"/>
    <tableColumn id="45" xr3:uid="{C07D9211-8F0C-426E-91A5-79385376FE49}" name="SGP Libre inversión " dataDxfId="195" totalsRowDxfId="20"/>
    <tableColumn id="43" xr3:uid="{87757363-368F-44F1-8174-8A0F795D7097}" name="SGP Libre destinación" dataDxfId="194" totalsRowDxfId="19"/>
    <tableColumn id="42" xr3:uid="{F8AE36B1-22A7-483D-B1F9-321A7E6CF82A}" name="SGP Alimentación escolar" dataDxfId="193" totalsRowDxfId="18"/>
    <tableColumn id="41" xr3:uid="{BEC9F7C7-AE39-44E1-87D3-7157700FA9C2}" name="SGP Municipios río Magdalena" dataDxfId="192" totalsRowDxfId="17"/>
    <tableColumn id="40" xr3:uid="{1B3D2F58-8E90-4EF5-983F-A8730637900B}" name="SGP APSB" dataDxfId="191" totalsRowDxfId="16"/>
    <tableColumn id="39" xr3:uid="{CAB6DC96-5267-42EE-9408-AFD56CCCB09A}" name="Crédito" dataDxfId="190" totalsRowDxfId="15"/>
    <tableColumn id="38" xr3:uid="{A4F2E25C-5FFA-42A6-AC4B-FA906A4C19BD}" name="Transferencias de capital - cofinanciación departamento " dataDxfId="189" totalsRowDxfId="14"/>
    <tableColumn id="37" xr3:uid="{214F4C60-D4E8-43E5-9CFF-91803BB54F03}" name="Transferencias de capital - cofinanciación nación 2" dataDxfId="188" totalsRowDxfId="13"/>
    <tableColumn id="54" xr3:uid="{6E0754DC-59A4-44DF-BFED-488D836E5B78}" name="Otros 2" totalsRowFunction="sum" dataDxfId="187" totalsRowDxfId="12"/>
    <tableColumn id="4" xr3:uid="{120DA063-D517-4F92-948E-1FF6B0244552}" name="Recursos del Balance2" totalsRowFunction="sum" dataDxfId="186" totalsRowDxfId="11"/>
    <tableColumn id="55" xr3:uid="{BE94427F-1E81-4DAC-98E7-AECBC5FF5D78}" name="Total Recursos Comprometido" totalsRowFunction="sum" dataDxfId="185" totalsRowDxfId="10">
      <calculatedColumnFormula>SUM(Tabla13[[#This Row],[Recursos propios ]:[Recursos del Balance2]])</calculatedColumnFormula>
    </tableColumn>
    <tableColumn id="20" xr3:uid="{0B7F7F9B-E16F-4160-A2B7-43CF5E3496F0}" name="Total Recursos Obligados" totalsRowFunction="sum" dataDxfId="184" totalsRowDxfId="9"/>
    <tableColumn id="21" xr3:uid="{6A20DBA0-7891-40B6-AC6F-9368578B4DE5}" name="Total Recursos Pagados" totalsRowFunction="sum" dataDxfId="183" totalsRowDxfId="8"/>
    <tableColumn id="56" xr3:uid="{BCDAB3FF-5412-4FAC-9746-7EC575BE394B}" name="Ejecución Recursos Comprometidos" dataDxfId="182" totalsRowDxfId="7">
      <calculatedColumnFormula>+Tabla13[[#This Row],[Total Recursos Comprometido]]/Tabla13[[#This Row],[Total]]</calculatedColumnFormula>
    </tableColumn>
    <tableColumn id="24" xr3:uid="{1963C7FA-C0E4-468C-AE0E-02606AB8E201}" name="Ejecución Recursos Obligados" dataDxfId="181" totalsRowDxfId="6">
      <calculatedColumnFormula>+Tabla13[[#This Row],[Total Recursos Obligados]]/Tabla13[[#This Row],[Total]]</calculatedColumnFormula>
    </tableColumn>
    <tableColumn id="23" xr3:uid="{75889010-8895-41D7-AA5A-E1F99CB79EA5}" name="Ejecución Recursos Pagados" dataDxfId="180" totalsRowDxfId="5">
      <calculatedColumnFormula>+Tabla13[[#This Row],[Total Recursos Pagados]]/Tabla13[[#This Row],[Total]]</calculatedColumnFormula>
    </tableColumn>
    <tableColumn id="18" xr3:uid="{6343368B-F202-6142-BBE7-7BC28B8C1CE4}" name="Total Recursos Gestionados2" dataDxfId="179" totalsRowDxfId="4"/>
    <tableColumn id="57" xr3:uid="{9341E1A8-F830-4C55-A410-D3E7FA43BE9C}" name="Nivel de Gestión" dataDxfId="178" totalsRowDxfId="3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43940170-FA80-4B8B-9A9E-AE3F59FCE254}" name="Dependencia" dataDxfId="177" totalsRowDxfId="2"/>
    <tableColumn id="59" xr3:uid="{04427D67-81CB-4277-8025-EE01F0C7861A}" name="Responsable" dataDxfId="176" totalsRowDxfId="1"/>
    <tableColumn id="60" xr3:uid="{E46EFF6B-6D92-4F27-9B06-4010D128B9A5}" name="ODS" dataDxfId="175" totalsRowDxfId="0"/>
  </tableColumns>
  <tableStyleInfo name="Estilo de tabla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BE19" totalsRowCount="1" headerRowDxfId="174" dataDxfId="172" headerRowBorderDxfId="173" tableBorderDxfId="171">
  <tableColumns count="57">
    <tableColumn id="1" xr3:uid="{00000000-0010-0000-0000-000001000000}" name=" Consecutivo PDM" dataDxfId="170" totalsRowDxfId="113"/>
    <tableColumn id="2" xr3:uid="{00000000-0010-0000-0000-000002000000}" name="Linea Estratégica" dataDxfId="169" totalsRowDxfId="112"/>
    <tableColumn id="5" xr3:uid="{00000000-0010-0000-0000-000005000000}" name="Sector" dataDxfId="168" totalsRowDxfId="111"/>
    <tableColumn id="14" xr3:uid="{00000000-0010-0000-0000-00000E000000}" name="Cod. Programa" dataDxfId="167" totalsRowDxfId="110"/>
    <tableColumn id="15" xr3:uid="{00000000-0010-0000-0000-00000F000000}" name="Programa" dataDxfId="166" totalsRowDxfId="109"/>
    <tableColumn id="16" xr3:uid="{00000000-0010-0000-0000-000010000000}" name="Cod. de Producto" dataDxfId="165" totalsRowDxfId="108"/>
    <tableColumn id="17" xr3:uid="{00000000-0010-0000-0000-000011000000}" name="Meta de Producto" dataDxfId="164" totalsRowDxfId="107"/>
    <tableColumn id="18" xr3:uid="{00000000-0010-0000-0000-000012000000}" name="Cod. Indicador de Producto" dataDxfId="163" totalsRowDxfId="106"/>
    <tableColumn id="19" xr3:uid="{00000000-0010-0000-0000-000013000000}" name="Indicador de Producto" dataDxfId="162" totalsRowDxfId="105"/>
    <tableColumn id="20" xr3:uid="{00000000-0010-0000-0000-000014000000}" name="LÍnea Base" dataDxfId="161" totalsRowDxfId="104"/>
    <tableColumn id="21" xr3:uid="{00000000-0010-0000-0000-000015000000}" name="Unidad de Medida2" dataDxfId="160" totalsRowDxfId="103"/>
    <tableColumn id="22" xr3:uid="{00000000-0010-0000-0000-000016000000}" name="Tipo de Meta" dataDxfId="159" totalsRowDxfId="102"/>
    <tableColumn id="23" xr3:uid="{00000000-0010-0000-0000-000017000000}" name="Meta Programada Cuatrienio3" dataDxfId="158" totalsRowDxfId="101"/>
    <tableColumn id="24" xr3:uid="{00000000-0010-0000-0000-000018000000}" name="Meta Programada Vigencia" dataDxfId="157" totalsRowDxfId="100"/>
    <tableColumn id="25" xr3:uid="{00000000-0010-0000-0000-000019000000}" name="Logro Vigencia" dataDxfId="156" totalsRowDxfId="99"/>
    <tableColumn id="41" xr3:uid="{948C74B7-9F8F-43C1-93AB-EE07E4D2D27B}" name="Porcentaje Avance Vigencia" totalsRowFunction="custom" dataDxfId="155" totalsRowDxfId="98">
      <calculatedColumnFormula>+Tabla1[[#This Row],[Logro Vigencia]]/Tabla1[[#This Row],[Meta Programada Vigencia]]</calculatedColumnFormula>
      <totalsRowFormula>+AVERAGE(Tabla1[Porcentaje Avance Vigencia])</totalsRowFormula>
    </tableColumn>
    <tableColumn id="26" xr3:uid="{00000000-0010-0000-0000-00001A000000}" name="Porcentaje Avance VigenciaR" dataDxfId="154" totalsRowDxfId="97"/>
    <tableColumn id="46" xr3:uid="{00000000-0010-0000-0000-00002E000000}" name="Recursos propios" totalsRowFunction="sum" dataDxfId="153" totalsRowDxfId="96"/>
    <tableColumn id="47" xr3:uid="{00000000-0010-0000-0000-00002F000000}" name="SGP Educación" dataDxfId="152" totalsRowDxfId="95"/>
    <tableColumn id="48" xr3:uid="{00000000-0010-0000-0000-000030000000}" name="SGP Salud" dataDxfId="151" totalsRowDxfId="94"/>
    <tableColumn id="36" xr3:uid="{9F9AF3B5-9302-4098-86C2-F3751C61856C}" name="SGP Deporte" totalsRowFunction="sum" dataDxfId="150" totalsRowDxfId="93">
      <calculatedColumnFormula>+Tabla13[[#This Row],[SGP Deporte]]</calculatedColumnFormula>
    </tableColumn>
    <tableColumn id="35" xr3:uid="{C5C853CA-0E38-42F1-B617-F223698DFB1E}" name="SGP Cultura" dataDxfId="149" totalsRowDxfId="92"/>
    <tableColumn id="13" xr3:uid="{D6B586E6-694C-47D3-A512-D9CFE88B0A7F}" name="SGP Libre inversión" dataDxfId="148" totalsRowDxfId="91"/>
    <tableColumn id="12" xr3:uid="{C6702C45-B7D4-4947-B509-EA37B6998105}" name="SGP Libre destinación" dataDxfId="147" totalsRowDxfId="90"/>
    <tableColumn id="11" xr3:uid="{6017F25B-848D-457C-9FE3-AA60351408C4}" name="SGP Alimentación escolar" dataDxfId="146" totalsRowDxfId="89"/>
    <tableColumn id="9" xr3:uid="{09919044-DCEC-4B52-92EE-B073D02DC126}" name="SGP APSB" dataDxfId="145" totalsRowDxfId="88"/>
    <tableColumn id="8" xr3:uid="{DB23BA9E-ECC6-40CB-BD89-0D2B86F37CB6}" name="Crédito" dataDxfId="144" totalsRowDxfId="87"/>
    <tableColumn id="7" xr3:uid="{D5A630DF-3B56-46D1-9753-5E0368C63EC6}" name="Transferencias de capital - cofinanciación departamento" dataDxfId="143" totalsRowDxfId="86"/>
    <tableColumn id="6" xr3:uid="{412FCA12-6813-443B-B6C2-123BED9F85F9}" name="Transferencias de capital - cofinanciación nación" dataDxfId="142" totalsRowDxfId="85"/>
    <tableColumn id="49" xr3:uid="{00000000-0010-0000-0000-000031000000}" name="Otros" totalsRowFunction="sum" dataDxfId="141" totalsRowDxfId="84">
      <calculatedColumnFormula>+Tabla13[[#This Row],[Otros ]]</calculatedColumnFormula>
    </tableColumn>
    <tableColumn id="27" xr3:uid="{7DD93E19-2832-4A51-8A0C-E61BADE2EBF2}" name="Recursos del Balance" totalsRowFunction="sum" dataDxfId="140" totalsRowDxfId="83">
      <calculatedColumnFormula>+Tabla13[[#This Row],[Recursos del Balance]]</calculatedColumnFormula>
    </tableColumn>
    <tableColumn id="50" xr3:uid="{00000000-0010-0000-0000-000032000000}" name="Total 2024" totalsRowFunction="sum" dataDxfId="139" totalsRowDxfId="82">
      <calculatedColumnFormula>SUM(Tabla1[[#This Row],[Recursos propios]:[Recursos del Balance]])</calculatedColumnFormula>
    </tableColumn>
    <tableColumn id="51" xr3:uid="{00000000-0010-0000-0000-000033000000}" name="Recursos propios2" totalsRowFunction="sum" dataDxfId="138" totalsRowDxfId="81">
      <calculatedColumnFormula>+Tabla13[[#This Row],[Recursos propios ]]</calculatedColumnFormula>
    </tableColumn>
    <tableColumn id="52" xr3:uid="{00000000-0010-0000-0000-000034000000}" name="SGP Educación2" dataDxfId="137" totalsRowDxfId="80"/>
    <tableColumn id="53" xr3:uid="{00000000-0010-0000-0000-000035000000}" name="SGP Salud 20244" dataDxfId="136" totalsRowDxfId="79"/>
    <tableColumn id="62" xr3:uid="{7C7CEB6E-F374-4CFE-9734-C5F0F9CACDEF}" name="SGP Deporte " totalsRowFunction="sum" dataDxfId="135" totalsRowDxfId="78">
      <calculatedColumnFormula>+Tabla13[[#This Row],[SGP Deporte2]]</calculatedColumnFormula>
    </tableColumn>
    <tableColumn id="61" xr3:uid="{3FADCE38-626D-4D04-8E80-59C4EF4A26E2}" name="SGP Cultura " dataDxfId="134" totalsRowDxfId="77"/>
    <tableColumn id="45" xr3:uid="{6E60DE39-5E5F-42D9-8EA9-092D48DC1C96}" name="SGP Libre inversión7" dataDxfId="133" totalsRowDxfId="76"/>
    <tableColumn id="43" xr3:uid="{2BAC0D89-AF4D-42C7-B398-E355E1723AC0}" name="SGP Libre destinación " dataDxfId="132" totalsRowDxfId="75"/>
    <tableColumn id="42" xr3:uid="{26B92485-4124-4A13-AFC5-F2B525B9055F}" name="SGP Alimentación escolar2" dataDxfId="131" totalsRowDxfId="74"/>
    <tableColumn id="40" xr3:uid="{1BEDA122-5557-4D48-AF95-BCC1CDE51394}" name="SGP APSB 1" dataDxfId="130" totalsRowDxfId="73"/>
    <tableColumn id="39" xr3:uid="{08579477-3F83-4D37-83BA-A19DF09AE01D}" name="Crédito2" dataDxfId="129" totalsRowDxfId="72"/>
    <tableColumn id="38" xr3:uid="{A6A070B1-2233-4449-B2F2-3342ACF65D94}" name="Transferencias de capital - cofinanciación departamento " dataDxfId="128" totalsRowDxfId="71"/>
    <tableColumn id="37" xr3:uid="{81D561A4-3CB9-4C97-9B09-8163BD53EE55}" name="Transferencias de capital - cofinanciación nación " dataDxfId="127" totalsRowDxfId="70"/>
    <tableColumn id="54" xr3:uid="{00000000-0010-0000-0000-000036000000}" name="Otros " totalsRowFunction="sum" dataDxfId="126" totalsRowDxfId="69">
      <calculatedColumnFormula>+Tabla13[[#This Row],[Otros 2]]</calculatedColumnFormula>
    </tableColumn>
    <tableColumn id="10" xr3:uid="{6E2474FE-BE7F-4145-9A73-37EE37601765}" name="Recursos del Balance2" totalsRowFunction="sum" dataDxfId="125" totalsRowDxfId="68">
      <calculatedColumnFormula>+Tabla13[[#This Row],[Recursos del Balance2]]</calculatedColumnFormula>
    </tableColumn>
    <tableColumn id="55" xr3:uid="{00000000-0010-0000-0000-000037000000}" name="Total Recursos Comprometido" totalsRowFunction="sum" dataDxfId="124" totalsRowDxfId="67">
      <calculatedColumnFormula>SUM(Tabla1[[#This Row],[Recursos propios2]:[Recursos del Balance2]])</calculatedColumnFormula>
    </tableColumn>
    <tableColumn id="3" xr3:uid="{97D6E022-C782-4FF3-9460-66988DC9E046}" name="Total Recursos Obligados" totalsRowFunction="sum" dataDxfId="123" totalsRowDxfId="66">
      <calculatedColumnFormula>+Tabla13[[#This Row],[Total Recursos Obligados]]</calculatedColumnFormula>
    </tableColumn>
    <tableColumn id="4" xr3:uid="{FACF9905-9C80-4C0B-AA93-96434C5C0E89}" name="Total Recursos Pagados" totalsRowFunction="sum" dataDxfId="122" totalsRowDxfId="65">
      <calculatedColumnFormula>+Tabla13[[#This Row],[Total Recursos Pagados]]</calculatedColumnFormula>
    </tableColumn>
    <tableColumn id="30" xr3:uid="{222F91FD-F5ED-4EEE-9A8F-E86D76F6FD1C}" name="Ejecución Recursos Comprometidos" dataDxfId="121" totalsRowDxfId="64">
      <calculatedColumnFormula>+Tabla1[[#This Row],[Total Recursos Comprometido]]/Tabla1[[#This Row],[Total 2024]]</calculatedColumnFormula>
    </tableColumn>
    <tableColumn id="44" xr3:uid="{7DBE1784-C877-4957-91C7-B1BADAEDDC3F}" name="Ejecución Recursos Obligados" dataDxfId="120" totalsRowDxfId="63">
      <calculatedColumnFormula>+Tabla1[[#This Row],[Total Recursos Obligados]]/Tabla1[[#This Row],[Total 2024]]</calculatedColumnFormula>
    </tableColumn>
    <tableColumn id="34" xr3:uid="{F07761C5-914C-41B3-B942-83BA8CBE6BCC}" name="Ejecución Recursos Pagados" dataDxfId="119" totalsRowDxfId="62">
      <calculatedColumnFormula>+Tabla1[[#This Row],[Total Recursos Pagados]]/Tabla1[[#This Row],[Total 2024]]</calculatedColumnFormula>
    </tableColumn>
    <tableColumn id="31" xr3:uid="{425B0788-0421-4008-BBBD-C96BE816DACB}" name="Total Recursos Gestionados2" dataDxfId="118" totalsRowDxfId="61"/>
    <tableColumn id="33" xr3:uid="{DC8E6CD1-31C8-440A-AC48-81F7B88607CF}" name="Nivel de Gestión" dataDxfId="117" totalsRowDxfId="60">
      <calculatedColumnFormula>IF(Tabla13[[#This Row],[Total Recursos Gestionados2]]=0,"_",IF(Tabla13[[#This Row],[Ejecución Recursos Comprometidos]]=0,100%,Tabla13[[#This Row],[Total Recursos Gestionados2]]/Tabla13[[#This Row],[Ejecución Recursos Comprometidos]]))</calculatedColumnFormula>
    </tableColumn>
    <tableColumn id="58" xr3:uid="{00000000-0010-0000-0000-00003A000000}" name="Dependencia" dataDxfId="116" totalsRowDxfId="59"/>
    <tableColumn id="59" xr3:uid="{00000000-0010-0000-0000-00003B000000}" name="Responsable" dataDxfId="115" totalsRowDxfId="58"/>
    <tableColumn id="60" xr3:uid="{00000000-0010-0000-0000-00003C000000}" name="ODS" dataDxfId="114" totalsRowDxfId="57"/>
  </tableColumns>
  <tableStyleInfo name="Estilo de tabla 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131-94AC-4FEA-9068-C2B72AC7472C}">
  <sheetPr>
    <tabColor theme="8" tint="-0.249977111117893"/>
  </sheetPr>
  <dimension ref="A1:BE23"/>
  <sheetViews>
    <sheetView showGridLines="0" zoomScale="80" zoomScaleNormal="80" workbookViewId="0">
      <selection activeCell="B11" sqref="B11"/>
    </sheetView>
  </sheetViews>
  <sheetFormatPr baseColWidth="10" defaultColWidth="11.1640625" defaultRowHeight="15" x14ac:dyDescent="0.2"/>
  <cols>
    <col min="1" max="1" width="24" style="4" customWidth="1"/>
    <col min="2" max="2" width="36.1640625" style="4" customWidth="1"/>
    <col min="3" max="3" width="20.1640625" style="4" customWidth="1"/>
    <col min="4" max="4" width="19.1640625" style="4" customWidth="1"/>
    <col min="5" max="5" width="25.6640625" style="4" customWidth="1"/>
    <col min="6" max="6" width="21.6640625" style="4" customWidth="1"/>
    <col min="7" max="7" width="33.6640625" style="4" customWidth="1"/>
    <col min="8" max="8" width="20.1640625" style="4" bestFit="1" customWidth="1"/>
    <col min="9" max="9" width="25.1640625" style="4" customWidth="1"/>
    <col min="10" max="10" width="26.1640625" style="4" bestFit="1" customWidth="1"/>
    <col min="11" max="11" width="28.1640625" style="4" customWidth="1"/>
    <col min="12" max="12" width="34.1640625" style="4" customWidth="1"/>
    <col min="13" max="13" width="26.6640625" style="4" customWidth="1"/>
    <col min="14" max="14" width="28.6640625" style="4" customWidth="1"/>
    <col min="15" max="15" width="27.1640625" style="4" customWidth="1"/>
    <col min="16" max="16" width="22.1640625" style="4" customWidth="1"/>
    <col min="17" max="17" width="17.6640625" style="4" customWidth="1"/>
    <col min="18" max="18" width="18.1640625" style="4" customWidth="1"/>
    <col min="19" max="19" width="19.6640625" style="4" bestFit="1" customWidth="1"/>
    <col min="20" max="28" width="18.1640625" style="4" customWidth="1"/>
    <col min="29" max="30" width="19.6640625" style="4" bestFit="1" customWidth="1"/>
    <col min="31" max="32" width="24.1640625" style="4" customWidth="1"/>
    <col min="33" max="34" width="19" style="4" customWidth="1"/>
    <col min="35" max="35" width="19.6640625" style="4" bestFit="1" customWidth="1"/>
    <col min="36" max="42" width="19" style="4" customWidth="1"/>
    <col min="43" max="43" width="26.6640625" style="4" customWidth="1"/>
    <col min="44" max="44" width="25.33203125" style="4" customWidth="1"/>
    <col min="45" max="46" width="19.6640625" style="4" bestFit="1" customWidth="1"/>
    <col min="47" max="49" width="22.6640625" style="4" customWidth="1"/>
    <col min="50" max="53" width="27.1640625" style="4" customWidth="1"/>
    <col min="54" max="54" width="25.6640625" style="4" customWidth="1"/>
    <col min="55" max="55" width="17.6640625" style="4" customWidth="1"/>
    <col min="56" max="56" width="19.6640625" style="30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4"/>
      <c r="B1" s="125"/>
      <c r="C1" s="138" t="s">
        <v>31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40"/>
      <c r="BC1" s="147" t="s">
        <v>32</v>
      </c>
      <c r="BD1" s="148"/>
      <c r="BE1" s="149"/>
    </row>
    <row r="2" spans="1:57" ht="30" customHeight="1" x14ac:dyDescent="0.2">
      <c r="A2" s="126"/>
      <c r="B2" s="127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3"/>
      <c r="BC2" s="150" t="s">
        <v>122</v>
      </c>
      <c r="BD2" s="151"/>
      <c r="BE2" s="152"/>
    </row>
    <row r="3" spans="1:57" ht="30" customHeight="1" x14ac:dyDescent="0.2">
      <c r="A3" s="126"/>
      <c r="B3" s="127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3"/>
      <c r="BC3" s="150" t="s">
        <v>123</v>
      </c>
      <c r="BD3" s="151"/>
      <c r="BE3" s="152"/>
    </row>
    <row r="4" spans="1:57" ht="30" customHeight="1" thickBot="1" x14ac:dyDescent="0.25">
      <c r="A4" s="128"/>
      <c r="B4" s="129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6"/>
      <c r="BC4" s="153" t="s">
        <v>124</v>
      </c>
      <c r="BD4" s="154"/>
      <c r="BE4" s="155"/>
    </row>
    <row r="5" spans="1:57" ht="23.25" customHeight="1" thickTop="1" x14ac:dyDescent="0.2"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12"/>
      <c r="BD6" s="31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12"/>
      <c r="BD7" s="31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12"/>
      <c r="BD8" s="31"/>
      <c r="BE8" s="13"/>
    </row>
    <row r="9" spans="1:57" s="2" customFormat="1" ht="38" customHeight="1" thickBot="1" x14ac:dyDescent="0.25">
      <c r="A9" s="130" t="s">
        <v>27</v>
      </c>
      <c r="B9" s="130"/>
      <c r="C9" s="130"/>
      <c r="D9" s="130"/>
      <c r="E9" s="130"/>
      <c r="F9" s="130"/>
      <c r="G9" s="130"/>
      <c r="H9" s="131" t="s">
        <v>25</v>
      </c>
      <c r="I9" s="132"/>
      <c r="J9" s="132"/>
      <c r="K9" s="132"/>
      <c r="L9" s="132"/>
      <c r="M9" s="132"/>
      <c r="N9" s="132"/>
      <c r="O9" s="133"/>
      <c r="P9" s="134" t="s">
        <v>24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6"/>
      <c r="AE9" s="137"/>
      <c r="AF9" s="131" t="s">
        <v>23</v>
      </c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1" t="s">
        <v>44</v>
      </c>
      <c r="AY9" s="132"/>
      <c r="AZ9" s="133"/>
      <c r="BA9" s="132" t="s">
        <v>46</v>
      </c>
      <c r="BB9" s="132"/>
      <c r="BC9" s="122" t="s">
        <v>22</v>
      </c>
      <c r="BD9" s="123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34</v>
      </c>
      <c r="I10" s="47" t="s">
        <v>8</v>
      </c>
      <c r="J10" s="47" t="s">
        <v>7</v>
      </c>
      <c r="K10" s="47" t="s">
        <v>6</v>
      </c>
      <c r="L10" s="47" t="s">
        <v>5</v>
      </c>
      <c r="M10" s="47" t="s">
        <v>4</v>
      </c>
      <c r="N10" s="47" t="s">
        <v>3</v>
      </c>
      <c r="O10" s="63" t="s">
        <v>2</v>
      </c>
      <c r="P10" s="47" t="s">
        <v>47</v>
      </c>
      <c r="Q10" s="47" t="s">
        <v>48</v>
      </c>
      <c r="R10" s="47" t="s">
        <v>137</v>
      </c>
      <c r="S10" s="47" t="s">
        <v>50</v>
      </c>
      <c r="T10" s="47" t="s">
        <v>128</v>
      </c>
      <c r="U10" s="47" t="s">
        <v>52</v>
      </c>
      <c r="V10" s="47" t="s">
        <v>126</v>
      </c>
      <c r="W10" s="47" t="s">
        <v>138</v>
      </c>
      <c r="X10" s="47" t="s">
        <v>139</v>
      </c>
      <c r="Y10" s="47" t="s">
        <v>140</v>
      </c>
      <c r="Z10" s="47" t="s">
        <v>141</v>
      </c>
      <c r="AA10" s="47" t="s">
        <v>57</v>
      </c>
      <c r="AB10" s="47" t="s">
        <v>134</v>
      </c>
      <c r="AC10" s="47" t="s">
        <v>135</v>
      </c>
      <c r="AD10" s="47" t="s">
        <v>63</v>
      </c>
      <c r="AE10" s="47" t="s">
        <v>142</v>
      </c>
      <c r="AF10" s="47" t="s">
        <v>143</v>
      </c>
      <c r="AG10" s="47" t="s">
        <v>144</v>
      </c>
      <c r="AH10" s="47" t="s">
        <v>145</v>
      </c>
      <c r="AI10" s="47" t="s">
        <v>146</v>
      </c>
      <c r="AJ10" s="47" t="s">
        <v>147</v>
      </c>
      <c r="AK10" s="47" t="s">
        <v>148</v>
      </c>
      <c r="AL10" s="47" t="s">
        <v>53</v>
      </c>
      <c r="AM10" s="47" t="s">
        <v>54</v>
      </c>
      <c r="AN10" s="47" t="s">
        <v>149</v>
      </c>
      <c r="AO10" s="47" t="s">
        <v>55</v>
      </c>
      <c r="AP10" s="47" t="s">
        <v>56</v>
      </c>
      <c r="AQ10" s="47" t="s">
        <v>133</v>
      </c>
      <c r="AR10" s="47" t="s">
        <v>150</v>
      </c>
      <c r="AS10" s="47" t="s">
        <v>151</v>
      </c>
      <c r="AT10" s="47" t="s">
        <v>64</v>
      </c>
      <c r="AU10" s="47" t="s">
        <v>136</v>
      </c>
      <c r="AV10" s="47" t="s">
        <v>35</v>
      </c>
      <c r="AW10" s="64" t="s">
        <v>36</v>
      </c>
      <c r="AX10" s="47" t="s">
        <v>43</v>
      </c>
      <c r="AY10" s="47" t="s">
        <v>41</v>
      </c>
      <c r="AZ10" s="47" t="s">
        <v>40</v>
      </c>
      <c r="BA10" s="51" t="s">
        <v>45</v>
      </c>
      <c r="BB10" s="64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152" x14ac:dyDescent="0.2">
      <c r="A11" s="73">
        <v>17</v>
      </c>
      <c r="B11" s="73" t="s">
        <v>65</v>
      </c>
      <c r="C11" s="74" t="s">
        <v>66</v>
      </c>
      <c r="D11" s="73" t="s">
        <v>67</v>
      </c>
      <c r="E11" s="74" t="s">
        <v>68</v>
      </c>
      <c r="F11" s="73" t="s">
        <v>69</v>
      </c>
      <c r="G11" s="74" t="s">
        <v>70</v>
      </c>
      <c r="H11" s="68" t="s">
        <v>90</v>
      </c>
      <c r="I11" s="65" t="s">
        <v>91</v>
      </c>
      <c r="J11" s="66">
        <v>3635448808</v>
      </c>
      <c r="K11" s="66">
        <v>1090575000</v>
      </c>
      <c r="L11" s="65"/>
      <c r="M11" s="65"/>
      <c r="N11" s="77"/>
      <c r="O11" s="69" t="s">
        <v>92</v>
      </c>
      <c r="P11" s="70">
        <v>221000000</v>
      </c>
      <c r="Q11" s="16"/>
      <c r="R11" s="16"/>
      <c r="S11" s="16">
        <v>0</v>
      </c>
      <c r="T11" s="16"/>
      <c r="U11" s="16"/>
      <c r="V11" s="16"/>
      <c r="W11" s="16"/>
      <c r="X11" s="16"/>
      <c r="Y11" s="16"/>
      <c r="Z11" s="16"/>
      <c r="AA11" s="16"/>
      <c r="AB11" s="16"/>
      <c r="AC11" s="16">
        <v>0</v>
      </c>
      <c r="AD11" s="108">
        <v>165000000</v>
      </c>
      <c r="AE11" s="117">
        <f>SUM(Tabla13[[#This Row],[Recursos propios]:[Recursos del Balance]])</f>
        <v>386000000</v>
      </c>
      <c r="AF11" s="118">
        <v>215733332</v>
      </c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16">
        <v>157166666</v>
      </c>
      <c r="AU11" s="116">
        <f>SUM(Tabla13[[#This Row],[Recursos propios ]:[Recursos del Balance2]])</f>
        <v>372899998</v>
      </c>
      <c r="AV11" s="79">
        <v>255333332</v>
      </c>
      <c r="AW11" s="79">
        <v>250833332</v>
      </c>
      <c r="AX11" s="20">
        <f>+Tabla13[[#This Row],[Total Recursos Comprometido]]/Tabla13[[#This Row],[Total]]</f>
        <v>0.9660621709844559</v>
      </c>
      <c r="AY11" s="17">
        <f>+Tabla13[[#This Row],[Total Recursos Obligados]]/Tabla13[[#This Row],[Total]]</f>
        <v>0.6614853160621762</v>
      </c>
      <c r="AZ11" s="21">
        <f>+Tabla13[[#This Row],[Total Recursos Pagados]]/Tabla13[[#This Row],[Total]]</f>
        <v>0.64982728497409326</v>
      </c>
      <c r="BA11" s="83"/>
      <c r="BB11" s="7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152</v>
      </c>
      <c r="BE11" s="43" t="s">
        <v>110</v>
      </c>
    </row>
    <row r="12" spans="1:57" s="10" customFormat="1" ht="153" x14ac:dyDescent="0.2">
      <c r="A12" s="73">
        <v>130</v>
      </c>
      <c r="B12" s="73" t="s">
        <v>71</v>
      </c>
      <c r="C12" s="74" t="s">
        <v>72</v>
      </c>
      <c r="D12" s="73" t="s">
        <v>73</v>
      </c>
      <c r="E12" s="74" t="s">
        <v>74</v>
      </c>
      <c r="F12" s="73" t="s">
        <v>75</v>
      </c>
      <c r="G12" s="74" t="s">
        <v>76</v>
      </c>
      <c r="H12" s="68">
        <v>2024680010188</v>
      </c>
      <c r="I12" s="65" t="s">
        <v>93</v>
      </c>
      <c r="J12" s="67">
        <v>31294286462.23</v>
      </c>
      <c r="K12" s="67">
        <v>6458748141</v>
      </c>
      <c r="L12" s="65" t="s">
        <v>94</v>
      </c>
      <c r="M12" s="65" t="s">
        <v>95</v>
      </c>
      <c r="N12" s="77"/>
      <c r="O12" s="69" t="s">
        <v>96</v>
      </c>
      <c r="P12" s="70">
        <v>301331575</v>
      </c>
      <c r="Q12" s="15"/>
      <c r="R12" s="15"/>
      <c r="S12" s="25">
        <v>748572000</v>
      </c>
      <c r="T12" s="15"/>
      <c r="U12" s="15"/>
      <c r="V12" s="15"/>
      <c r="W12" s="15"/>
      <c r="X12" s="15"/>
      <c r="Y12" s="15"/>
      <c r="Z12" s="15"/>
      <c r="AA12" s="15"/>
      <c r="AB12" s="15"/>
      <c r="AC12" s="15">
        <v>50000000</v>
      </c>
      <c r="AD12" s="25">
        <v>957047338</v>
      </c>
      <c r="AE12" s="26">
        <f>SUM(Tabla13[[#This Row],[Recursos propios]:[Recursos del Balance]])</f>
        <v>2056950913</v>
      </c>
      <c r="AF12" s="78">
        <v>28428000</v>
      </c>
      <c r="AG12" s="15"/>
      <c r="AH12" s="15"/>
      <c r="AI12" s="15">
        <v>727269999</v>
      </c>
      <c r="AJ12" s="15"/>
      <c r="AK12" s="15"/>
      <c r="AL12" s="15"/>
      <c r="AM12" s="15"/>
      <c r="AN12" s="15"/>
      <c r="AO12" s="15"/>
      <c r="AP12" s="15"/>
      <c r="AQ12" s="15"/>
      <c r="AR12" s="15"/>
      <c r="AS12" s="15">
        <v>30000000</v>
      </c>
      <c r="AT12" s="115">
        <v>515797000.61000001</v>
      </c>
      <c r="AU12" s="115">
        <f>SUM(Tabla13[[#This Row],[Recursos propios ]:[Recursos del Balance2]])</f>
        <v>1301494999.6100001</v>
      </c>
      <c r="AV12" s="80">
        <v>910989999</v>
      </c>
      <c r="AW12" s="82">
        <v>896689999</v>
      </c>
      <c r="AX12" s="58">
        <f>+Tabla13[[#This Row],[Total Recursos Comprometido]]/Tabla13[[#This Row],[Total]]</f>
        <v>0.63273021800593654</v>
      </c>
      <c r="AY12" s="18">
        <f>+Tabla13[[#This Row],[Total Recursos Obligados]]/Tabla13[[#This Row],[Total]]</f>
        <v>0.44288368441002268</v>
      </c>
      <c r="AZ12" s="59">
        <f>+Tabla13[[#This Row],[Total Recursos Pagados]]/Tabla13[[#This Row],[Total]]</f>
        <v>0.43593164685306224</v>
      </c>
      <c r="BA12" s="84"/>
      <c r="BB12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152</v>
      </c>
      <c r="BE12" s="24">
        <v>3</v>
      </c>
    </row>
    <row r="13" spans="1:57" s="10" customFormat="1" ht="190" x14ac:dyDescent="0.2">
      <c r="A13" s="75">
        <v>131</v>
      </c>
      <c r="B13" s="75" t="s">
        <v>71</v>
      </c>
      <c r="C13" s="76" t="s">
        <v>72</v>
      </c>
      <c r="D13" s="75" t="s">
        <v>73</v>
      </c>
      <c r="E13" s="76" t="s">
        <v>74</v>
      </c>
      <c r="F13" s="75" t="s">
        <v>77</v>
      </c>
      <c r="G13" s="76" t="s">
        <v>78</v>
      </c>
      <c r="H13" s="68">
        <v>2024680010188</v>
      </c>
      <c r="I13" s="65" t="s">
        <v>93</v>
      </c>
      <c r="J13" s="67">
        <v>31294286462.23</v>
      </c>
      <c r="K13" s="67">
        <v>6458748141</v>
      </c>
      <c r="L13" s="65" t="s">
        <v>94</v>
      </c>
      <c r="M13" s="65" t="s">
        <v>97</v>
      </c>
      <c r="N13" s="77"/>
      <c r="O13" s="69" t="s">
        <v>98</v>
      </c>
      <c r="P13" s="70">
        <v>720429196</v>
      </c>
      <c r="Q13" s="15"/>
      <c r="R13" s="15"/>
      <c r="S13" s="25">
        <v>2168606749</v>
      </c>
      <c r="T13" s="15"/>
      <c r="U13" s="15"/>
      <c r="V13" s="15"/>
      <c r="W13" s="15"/>
      <c r="X13" s="15"/>
      <c r="Y13" s="15"/>
      <c r="Z13" s="15"/>
      <c r="AA13" s="15"/>
      <c r="AB13" s="15"/>
      <c r="AC13" s="15">
        <v>262467625</v>
      </c>
      <c r="AD13" s="15">
        <v>1250293658.1800001</v>
      </c>
      <c r="AE13" s="26">
        <f>SUM(Tabla13[[#This Row],[Recursos propios]:[Recursos del Balance]])</f>
        <v>4401797228.1800003</v>
      </c>
      <c r="AF13" s="119">
        <v>618736410</v>
      </c>
      <c r="AG13" s="15"/>
      <c r="AH13" s="15"/>
      <c r="AI13" s="15">
        <v>2121489998</v>
      </c>
      <c r="AJ13" s="15"/>
      <c r="AK13" s="15"/>
      <c r="AL13" s="15"/>
      <c r="AM13" s="15"/>
      <c r="AN13" s="15"/>
      <c r="AO13" s="15"/>
      <c r="AP13" s="15"/>
      <c r="AQ13" s="15"/>
      <c r="AR13" s="15"/>
      <c r="AS13" s="15">
        <v>70000000</v>
      </c>
      <c r="AT13" s="25">
        <v>1139892978</v>
      </c>
      <c r="AU13" s="15">
        <f>SUM(Tabla13[[#This Row],[Recursos propios ]:[Recursos del Balance2]])</f>
        <v>3950119386</v>
      </c>
      <c r="AV13" s="80">
        <v>2779617611.73</v>
      </c>
      <c r="AW13" s="82">
        <v>2726217611.73</v>
      </c>
      <c r="AX13" s="19">
        <f>+Tabla13[[#This Row],[Total Recursos Comprometido]]/Tabla13[[#This Row],[Total]]</f>
        <v>0.89738785801208876</v>
      </c>
      <c r="AY13" s="32">
        <f>+Tabla13[[#This Row],[Total Recursos Obligados]]/Tabla13[[#This Row],[Total]]</f>
        <v>0.63147334319152204</v>
      </c>
      <c r="AZ13" s="33">
        <f>+Tabla13[[#This Row],[Total Recursos Pagados]]/Tabla13[[#This Row],[Total]]</f>
        <v>0.61934193476177046</v>
      </c>
      <c r="BA13" s="85"/>
      <c r="BB13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37" t="s">
        <v>109</v>
      </c>
      <c r="BD13" s="42" t="s">
        <v>152</v>
      </c>
      <c r="BE13" s="24">
        <v>3</v>
      </c>
    </row>
    <row r="14" spans="1:57" s="10" customFormat="1" ht="204" x14ac:dyDescent="0.2">
      <c r="A14" s="73">
        <v>132</v>
      </c>
      <c r="B14" s="73" t="s">
        <v>71</v>
      </c>
      <c r="C14" s="74" t="s">
        <v>72</v>
      </c>
      <c r="D14" s="73" t="s">
        <v>73</v>
      </c>
      <c r="E14" s="74" t="s">
        <v>74</v>
      </c>
      <c r="F14" s="73" t="s">
        <v>79</v>
      </c>
      <c r="G14" s="74" t="s">
        <v>80</v>
      </c>
      <c r="H14" s="68">
        <v>2024680010180</v>
      </c>
      <c r="I14" s="65" t="s">
        <v>99</v>
      </c>
      <c r="J14" s="109">
        <v>3028841568</v>
      </c>
      <c r="K14" s="109">
        <v>1108578510.4400001</v>
      </c>
      <c r="L14" s="65" t="s">
        <v>94</v>
      </c>
      <c r="M14" s="65" t="s">
        <v>97</v>
      </c>
      <c r="N14" s="77"/>
      <c r="O14" s="69" t="s">
        <v>100</v>
      </c>
      <c r="P14" s="70">
        <v>1175000000</v>
      </c>
      <c r="Q14" s="15"/>
      <c r="R14" s="15"/>
      <c r="S14" s="27">
        <v>146617935</v>
      </c>
      <c r="T14" s="15"/>
      <c r="U14" s="15"/>
      <c r="V14" s="15"/>
      <c r="W14" s="15"/>
      <c r="X14" s="15"/>
      <c r="Y14" s="15"/>
      <c r="Z14" s="15"/>
      <c r="AA14" s="15"/>
      <c r="AB14" s="15"/>
      <c r="AC14" s="27">
        <v>0</v>
      </c>
      <c r="AD14" s="27">
        <v>146960575.44</v>
      </c>
      <c r="AE14" s="26">
        <f>SUM(Tabla13[[#This Row],[Recursos propios]:[Recursos del Balance]])</f>
        <v>1468578510.4400001</v>
      </c>
      <c r="AF14" s="119">
        <v>329397383.56</v>
      </c>
      <c r="AG14" s="15"/>
      <c r="AH14" s="15"/>
      <c r="AI14" s="15">
        <v>146617935</v>
      </c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20">
        <v>146216552.44</v>
      </c>
      <c r="AU14" s="115">
        <f>SUM(Tabla13[[#This Row],[Recursos propios ]:[Recursos del Balance2]])</f>
        <v>622231871</v>
      </c>
      <c r="AV14" s="79">
        <v>384262000</v>
      </c>
      <c r="AW14" s="81">
        <v>379262000</v>
      </c>
      <c r="AX14" s="20">
        <f>+Tabla13[[#This Row],[Total Recursos Comprometido]]/Tabla13[[#This Row],[Total]]</f>
        <v>0.42369670165851292</v>
      </c>
      <c r="AY14" s="17">
        <f>+Tabla13[[#This Row],[Total Recursos Obligados]]/Tabla13[[#This Row],[Total]]</f>
        <v>0.26165574211273968</v>
      </c>
      <c r="AZ14" s="21">
        <f>+Tabla13[[#This Row],[Total Recursos Pagados]]/Tabla13[[#This Row],[Total]]</f>
        <v>0.25825108927024237</v>
      </c>
      <c r="BA14" s="83"/>
      <c r="BB14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152</v>
      </c>
      <c r="BE14" s="24">
        <v>3</v>
      </c>
    </row>
    <row r="15" spans="1:57" s="10" customFormat="1" ht="102" x14ac:dyDescent="0.2">
      <c r="A15" s="75">
        <v>133</v>
      </c>
      <c r="B15" s="75" t="s">
        <v>71</v>
      </c>
      <c r="C15" s="76" t="s">
        <v>72</v>
      </c>
      <c r="D15" s="75" t="s">
        <v>73</v>
      </c>
      <c r="E15" s="76" t="s">
        <v>74</v>
      </c>
      <c r="F15" s="75" t="s">
        <v>81</v>
      </c>
      <c r="G15" s="76" t="s">
        <v>82</v>
      </c>
      <c r="H15" s="68">
        <v>2024680010167</v>
      </c>
      <c r="I15" s="65" t="s">
        <v>101</v>
      </c>
      <c r="J15" s="67">
        <v>15361176062.188728</v>
      </c>
      <c r="K15" s="67">
        <v>5827107667.6899996</v>
      </c>
      <c r="L15" s="65" t="s">
        <v>102</v>
      </c>
      <c r="M15" s="65" t="s">
        <v>103</v>
      </c>
      <c r="N15" s="77">
        <v>619703</v>
      </c>
      <c r="O15" s="69" t="s">
        <v>104</v>
      </c>
      <c r="P15" s="70">
        <v>1348930450</v>
      </c>
      <c r="Q15" s="15"/>
      <c r="R15" s="15"/>
      <c r="S15" s="27">
        <v>0</v>
      </c>
      <c r="T15" s="15"/>
      <c r="U15" s="15"/>
      <c r="V15" s="15"/>
      <c r="W15" s="15"/>
      <c r="X15" s="15"/>
      <c r="Y15" s="15"/>
      <c r="Z15" s="15"/>
      <c r="AA15" s="15"/>
      <c r="AB15" s="15"/>
      <c r="AC15" s="27">
        <v>288987489</v>
      </c>
      <c r="AD15" s="27">
        <v>2383266063.5599999</v>
      </c>
      <c r="AE15" s="26">
        <f>SUM(Tabla13[[#This Row],[Recursos propios]:[Recursos del Balance]])</f>
        <v>4021184002.5599999</v>
      </c>
      <c r="AF15" s="78">
        <v>1258010925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>
        <v>110539943</v>
      </c>
      <c r="AT15" s="120">
        <v>1824907591.9000001</v>
      </c>
      <c r="AU15" s="115">
        <f>SUM(Tabla13[[#This Row],[Recursos propios ]:[Recursos del Balance2]])</f>
        <v>3193458459.9000001</v>
      </c>
      <c r="AV15" s="80">
        <v>1782536993</v>
      </c>
      <c r="AW15" s="82">
        <v>1777536993</v>
      </c>
      <c r="AX15" s="19">
        <f>+Tabla13[[#This Row],[Total Recursos Comprometido]]/Tabla13[[#This Row],[Total]]</f>
        <v>0.79415874972817802</v>
      </c>
      <c r="AY15" s="32">
        <f>+Tabla13[[#This Row],[Total Recursos Obligados]]/Tabla13[[#This Row],[Total]]</f>
        <v>0.44328660212146132</v>
      </c>
      <c r="AZ15" s="33">
        <f>+Tabla13[[#This Row],[Total Recursos Pagados]]/Tabla13[[#This Row],[Total]]</f>
        <v>0.44204318724742997</v>
      </c>
      <c r="BA15" s="85"/>
      <c r="BB15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37" t="s">
        <v>109</v>
      </c>
      <c r="BD15" s="42" t="s">
        <v>152</v>
      </c>
      <c r="BE15" s="24">
        <v>3</v>
      </c>
    </row>
    <row r="16" spans="1:57" s="10" customFormat="1" ht="119" x14ac:dyDescent="0.2">
      <c r="A16" s="73">
        <v>134</v>
      </c>
      <c r="B16" s="73" t="s">
        <v>71</v>
      </c>
      <c r="C16" s="74" t="s">
        <v>72</v>
      </c>
      <c r="D16" s="73" t="s">
        <v>73</v>
      </c>
      <c r="E16" s="74" t="s">
        <v>74</v>
      </c>
      <c r="F16" s="73" t="s">
        <v>83</v>
      </c>
      <c r="G16" s="74" t="s">
        <v>84</v>
      </c>
      <c r="H16" s="68">
        <v>2024680010167</v>
      </c>
      <c r="I16" s="65" t="s">
        <v>101</v>
      </c>
      <c r="J16" s="67">
        <v>15361176062.188728</v>
      </c>
      <c r="K16" s="67">
        <v>5827107667.6899996</v>
      </c>
      <c r="L16" s="65">
        <v>1</v>
      </c>
      <c r="M16" s="65" t="s">
        <v>103</v>
      </c>
      <c r="N16" s="77">
        <v>619703</v>
      </c>
      <c r="O16" s="69" t="s">
        <v>105</v>
      </c>
      <c r="P16" s="70">
        <v>1017322000</v>
      </c>
      <c r="Q16" s="15"/>
      <c r="R16" s="15"/>
      <c r="S16" s="27">
        <v>0</v>
      </c>
      <c r="T16" s="15"/>
      <c r="U16" s="15"/>
      <c r="V16" s="15"/>
      <c r="W16" s="15"/>
      <c r="X16" s="15"/>
      <c r="Y16" s="15"/>
      <c r="Z16" s="15"/>
      <c r="AA16" s="15"/>
      <c r="AB16" s="15"/>
      <c r="AC16" s="27">
        <v>211863078</v>
      </c>
      <c r="AD16" s="27">
        <v>576738587.13</v>
      </c>
      <c r="AE16" s="26">
        <f>SUM(Tabla13[[#This Row],[Recursos propios]:[Recursos del Balance]])</f>
        <v>1805923665.1300001</v>
      </c>
      <c r="AF16" s="78">
        <v>681688333</v>
      </c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>
        <v>105863078</v>
      </c>
      <c r="AT16" s="115">
        <v>449601148</v>
      </c>
      <c r="AU16" s="115">
        <f>SUM(Tabla13[[#This Row],[Recursos propios ]:[Recursos del Balance2]])</f>
        <v>1237152559</v>
      </c>
      <c r="AV16" s="80">
        <v>554106667</v>
      </c>
      <c r="AW16" s="80">
        <v>551306667</v>
      </c>
      <c r="AX16" s="19">
        <f>+Tabla13[[#This Row],[Total Recursos Comprometido]]/Tabla13[[#This Row],[Total]]</f>
        <v>0.68505252070604161</v>
      </c>
      <c r="AY16" s="32">
        <f>+Tabla13[[#This Row],[Total Recursos Obligados]]/Tabla13[[#This Row],[Total]]</f>
        <v>0.30682729159546862</v>
      </c>
      <c r="AZ16" s="33">
        <f>+Tabla13[[#This Row],[Total Recursos Pagados]]/Tabla13[[#This Row],[Total]]</f>
        <v>0.30527683846499348</v>
      </c>
      <c r="BA16" s="85"/>
      <c r="BB16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37" t="s">
        <v>109</v>
      </c>
      <c r="BD16" s="42" t="s">
        <v>152</v>
      </c>
      <c r="BE16" s="24">
        <v>3</v>
      </c>
    </row>
    <row r="17" spans="1:57" s="10" customFormat="1" ht="152" x14ac:dyDescent="0.2">
      <c r="A17" s="75">
        <v>137</v>
      </c>
      <c r="B17" s="75" t="s">
        <v>71</v>
      </c>
      <c r="C17" s="76" t="s">
        <v>66</v>
      </c>
      <c r="D17" s="75" t="s">
        <v>67</v>
      </c>
      <c r="E17" s="76" t="s">
        <v>85</v>
      </c>
      <c r="F17" s="75" t="s">
        <v>86</v>
      </c>
      <c r="G17" s="76" t="s">
        <v>87</v>
      </c>
      <c r="H17" s="68" t="s">
        <v>90</v>
      </c>
      <c r="I17" s="65" t="s">
        <v>91</v>
      </c>
      <c r="J17" s="66">
        <v>3635448808</v>
      </c>
      <c r="K17" s="66">
        <v>1090575000</v>
      </c>
      <c r="L17" s="65"/>
      <c r="M17" s="65"/>
      <c r="N17" s="77"/>
      <c r="O17" s="69" t="s">
        <v>106</v>
      </c>
      <c r="P17" s="70">
        <v>80000000</v>
      </c>
      <c r="Q17" s="15"/>
      <c r="R17" s="15"/>
      <c r="S17" s="15">
        <v>0</v>
      </c>
      <c r="T17" s="15"/>
      <c r="U17" s="15"/>
      <c r="V17" s="15"/>
      <c r="W17" s="15"/>
      <c r="X17" s="15"/>
      <c r="Y17" s="15"/>
      <c r="Z17" s="15"/>
      <c r="AA17" s="15"/>
      <c r="AB17" s="15"/>
      <c r="AC17" s="15">
        <v>0</v>
      </c>
      <c r="AD17" s="15"/>
      <c r="AE17" s="26">
        <f>SUM(Tabla13[[#This Row],[Recursos propios]:[Recursos del Balance]])</f>
        <v>80000000</v>
      </c>
      <c r="AF17" s="78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>
        <f>SUM(Tabla13[[#This Row],[Recursos propios ]:[Recursos del Balance2]])</f>
        <v>0</v>
      </c>
      <c r="AV17" s="80"/>
      <c r="AW17" s="82"/>
      <c r="AX17" s="58">
        <f>+Tabla13[[#This Row],[Total Recursos Comprometido]]/Tabla13[[#This Row],[Total]]</f>
        <v>0</v>
      </c>
      <c r="AY17" s="18">
        <f>+Tabla13[[#This Row],[Total Recursos Obligados]]/Tabla13[[#This Row],[Total]]</f>
        <v>0</v>
      </c>
      <c r="AZ17" s="59">
        <f>+Tabla13[[#This Row],[Total Recursos Pagados]]/Tabla13[[#This Row],[Total]]</f>
        <v>0</v>
      </c>
      <c r="BA17" s="84"/>
      <c r="BB17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152</v>
      </c>
      <c r="BE17" s="24" t="s">
        <v>110</v>
      </c>
    </row>
    <row r="18" spans="1:57" s="10" customFormat="1" ht="152" x14ac:dyDescent="0.2">
      <c r="A18" s="73">
        <v>138</v>
      </c>
      <c r="B18" s="73" t="s">
        <v>71</v>
      </c>
      <c r="C18" s="74" t="s">
        <v>66</v>
      </c>
      <c r="D18" s="73" t="s">
        <v>67</v>
      </c>
      <c r="E18" s="74" t="s">
        <v>85</v>
      </c>
      <c r="F18" s="73" t="s">
        <v>88</v>
      </c>
      <c r="G18" s="74" t="s">
        <v>89</v>
      </c>
      <c r="H18" s="68" t="s">
        <v>90</v>
      </c>
      <c r="I18" s="65" t="s">
        <v>91</v>
      </c>
      <c r="J18" s="66">
        <v>3635448808</v>
      </c>
      <c r="K18" s="66">
        <v>1090575000</v>
      </c>
      <c r="L18" s="65" t="s">
        <v>94</v>
      </c>
      <c r="M18" s="65" t="s">
        <v>107</v>
      </c>
      <c r="N18" s="77">
        <v>438</v>
      </c>
      <c r="O18" s="69" t="s">
        <v>108</v>
      </c>
      <c r="P18" s="70">
        <v>458890354</v>
      </c>
      <c r="Q18" s="15"/>
      <c r="R18" s="15"/>
      <c r="S18" s="15">
        <v>0</v>
      </c>
      <c r="T18" s="15"/>
      <c r="U18" s="15"/>
      <c r="V18" s="15"/>
      <c r="W18" s="15"/>
      <c r="X18" s="15"/>
      <c r="Y18" s="15"/>
      <c r="Z18" s="15"/>
      <c r="AA18" s="15"/>
      <c r="AB18" s="15"/>
      <c r="AC18" s="15">
        <v>0</v>
      </c>
      <c r="AD18" s="25">
        <v>165684646</v>
      </c>
      <c r="AE18" s="26">
        <f>SUM(Tabla13[[#This Row],[Recursos propios]:[Recursos del Balance]])</f>
        <v>624575000</v>
      </c>
      <c r="AF18" s="78">
        <v>200220000</v>
      </c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20">
        <v>110600000</v>
      </c>
      <c r="AU18" s="115">
        <f>SUM(Tabla13[[#This Row],[Recursos propios ]:[Recursos del Balance2]])</f>
        <v>310820000</v>
      </c>
      <c r="AV18" s="80">
        <v>231220000</v>
      </c>
      <c r="AW18" s="82">
        <v>231220000</v>
      </c>
      <c r="AX18" s="19">
        <f>+Tabla13[[#This Row],[Total Recursos Comprometido]]/Tabla13[[#This Row],[Total]]</f>
        <v>0.49765040227354601</v>
      </c>
      <c r="AY18" s="32">
        <f>+Tabla13[[#This Row],[Total Recursos Obligados]]/Tabla13[[#This Row],[Total]]</f>
        <v>0.37020373854220873</v>
      </c>
      <c r="AZ18" s="33">
        <f>+Tabla13[[#This Row],[Total Recursos Pagados]]/Tabla13[[#This Row],[Total]]</f>
        <v>0.37020373854220873</v>
      </c>
      <c r="BA18" s="85"/>
      <c r="BB18" s="7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37" t="s">
        <v>109</v>
      </c>
      <c r="BD18" s="42" t="s">
        <v>152</v>
      </c>
      <c r="BE18" s="24" t="s">
        <v>110</v>
      </c>
    </row>
    <row r="19" spans="1:57" x14ac:dyDescent="0.2">
      <c r="A19" s="103"/>
      <c r="B19" s="103"/>
      <c r="C19" s="103"/>
      <c r="D19" s="103"/>
      <c r="E19" s="103"/>
      <c r="F19" s="103"/>
      <c r="G19" s="103"/>
      <c r="H19" s="90"/>
      <c r="I19" s="90"/>
      <c r="J19" s="90"/>
      <c r="K19" s="90"/>
      <c r="L19" s="90"/>
      <c r="M19" s="90"/>
      <c r="N19" s="90"/>
      <c r="O19" s="90"/>
      <c r="P19" s="91">
        <f>SUBTOTAL(109,Tabla13[Recursos propios])</f>
        <v>5322903575</v>
      </c>
      <c r="Q19" s="90"/>
      <c r="R19" s="90"/>
      <c r="S19" s="91">
        <f>SUBTOTAL(109,Tabla13[SGP Deporte])</f>
        <v>3063796684</v>
      </c>
      <c r="T19" s="90"/>
      <c r="U19" s="90"/>
      <c r="V19" s="90"/>
      <c r="W19" s="90"/>
      <c r="X19" s="90"/>
      <c r="Y19" s="90"/>
      <c r="Z19" s="90"/>
      <c r="AA19" s="90"/>
      <c r="AB19" s="90"/>
      <c r="AC19" s="91">
        <f>SUBTOTAL(109,Tabla13[[Otros ]])</f>
        <v>813318192</v>
      </c>
      <c r="AD19" s="91">
        <f>SUBTOTAL(109,Tabla13[Recursos del Balance])</f>
        <v>5644990868.3100004</v>
      </c>
      <c r="AE19" s="91">
        <f>SUBTOTAL(109,Tabla13[Total])</f>
        <v>14845009319.310001</v>
      </c>
      <c r="AF19" s="91">
        <f>SUBTOTAL(109,Tabla13[[Recursos propios ]])</f>
        <v>3332214383.5599999</v>
      </c>
      <c r="AG19" s="90"/>
      <c r="AH19" s="90"/>
      <c r="AI19" s="91">
        <f>SUBTOTAL(109,Tabla13[SGP Deporte2])</f>
        <v>2995377932</v>
      </c>
      <c r="AJ19" s="90"/>
      <c r="AK19" s="90"/>
      <c r="AL19" s="90"/>
      <c r="AM19" s="90"/>
      <c r="AN19" s="90"/>
      <c r="AO19" s="90"/>
      <c r="AP19" s="90"/>
      <c r="AQ19" s="90"/>
      <c r="AR19" s="90"/>
      <c r="AS19" s="91">
        <f>SUBTOTAL(109,Tabla13[Otros 2])</f>
        <v>316403021</v>
      </c>
      <c r="AT19" s="91">
        <f>SUBTOTAL(109,Tabla13[Recursos del Balance2])</f>
        <v>4344181936.9500008</v>
      </c>
      <c r="AU19" s="91">
        <f>SUBTOTAL(109,Tabla13[Total Recursos Comprometido])</f>
        <v>10988177273.51</v>
      </c>
      <c r="AV19" s="91">
        <f>SUBTOTAL(109,Tabla13[Total Recursos Obligados])</f>
        <v>6898066602.7299995</v>
      </c>
      <c r="AW19" s="91">
        <f>SUBTOTAL(109,Tabla13[Total Recursos Pagados])</f>
        <v>6813066602.7299995</v>
      </c>
      <c r="AX19" s="104"/>
      <c r="AY19" s="91"/>
      <c r="AZ19" s="91"/>
      <c r="BA19" s="90"/>
      <c r="BB19" s="91"/>
      <c r="BC19" s="103"/>
      <c r="BD19" s="105"/>
      <c r="BE19" s="103"/>
    </row>
    <row r="20" spans="1:57" x14ac:dyDescent="0.2">
      <c r="P20" s="113">
        <v>5322903574.999999</v>
      </c>
      <c r="S20" s="114">
        <v>3063796684</v>
      </c>
      <c r="AC20" s="106">
        <v>813318192</v>
      </c>
      <c r="AD20" s="121">
        <v>5644990868.3100004</v>
      </c>
      <c r="AE20" s="113">
        <f>SUBTOTAL(109,Tabla13[Total])</f>
        <v>14845009319.310001</v>
      </c>
      <c r="AF20" s="106">
        <v>3332214383.5599999</v>
      </c>
      <c r="AI20" s="106">
        <v>2995377932</v>
      </c>
      <c r="AS20" s="106">
        <v>316403021</v>
      </c>
      <c r="AT20" s="106">
        <v>4344181936.9500008</v>
      </c>
      <c r="AU20" s="106">
        <v>10988177273.509998</v>
      </c>
      <c r="AV20" s="121">
        <v>6898066602.7299995</v>
      </c>
      <c r="AW20" s="121">
        <v>6813066602.7299995</v>
      </c>
    </row>
    <row r="21" spans="1:57" x14ac:dyDescent="0.2">
      <c r="P21" s="107">
        <f>+Tabla13[[#Totals],[Recursos propios]]-P20</f>
        <v>0</v>
      </c>
      <c r="S21" s="114">
        <f>+Tabla13[[#Totals],[SGP Deporte]]-S20</f>
        <v>0</v>
      </c>
      <c r="AC21" s="107">
        <f>+Tabla13[[#Totals],[Otros ]]-AC20</f>
        <v>0</v>
      </c>
      <c r="AD21" s="107">
        <f>+Tabla13[[#Totals],[Recursos del Balance]]-AD20</f>
        <v>0</v>
      </c>
      <c r="AE21" s="107">
        <f>+Tabla13[[#Totals],[Total]]-AE20</f>
        <v>0</v>
      </c>
      <c r="AF21" s="107">
        <f>+Tabla13[[#Totals],[Recursos propios ]]-AF20</f>
        <v>0</v>
      </c>
      <c r="AI21" s="107">
        <f>+Tabla13[[#Totals],[SGP Deporte2]]-AI20</f>
        <v>0</v>
      </c>
      <c r="AS21" s="107">
        <f>+Tabla13[[#Totals],[Otros 2]]-AS20</f>
        <v>0</v>
      </c>
      <c r="AT21" s="107">
        <f>+Tabla13[[#Totals],[Recursos del Balance2]]-AT20</f>
        <v>0</v>
      </c>
      <c r="AU21" s="107">
        <f>+AU20-Tabla13[[#Totals],[Total Recursos Comprometido]]</f>
        <v>0</v>
      </c>
      <c r="AV21" s="107">
        <f>+AV20-Tabla13[[#Totals],[Total Recursos Obligados]]</f>
        <v>0</v>
      </c>
      <c r="AW21" s="107">
        <f>+AW20-Tabla13[[#Totals],[Total Recursos Pagados]]</f>
        <v>0</v>
      </c>
    </row>
    <row r="22" spans="1:57" x14ac:dyDescent="0.2">
      <c r="AD22" s="107"/>
    </row>
    <row r="23" spans="1:57" x14ac:dyDescent="0.2">
      <c r="P23" s="107"/>
    </row>
  </sheetData>
  <sheetProtection formatCells="0" formatColumns="0" formatRows="0" insertRows="0" autoFilter="0"/>
  <mergeCells count="13">
    <mergeCell ref="BC9:BD9"/>
    <mergeCell ref="A1:B4"/>
    <mergeCell ref="A9:G9"/>
    <mergeCell ref="H9:O9"/>
    <mergeCell ref="P9:AE9"/>
    <mergeCell ref="AF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BE21"/>
  <sheetViews>
    <sheetView showGridLines="0" tabSelected="1" topLeftCell="A10" zoomScale="90" zoomScaleNormal="90" workbookViewId="0">
      <pane xSplit="1" ySplit="1" topLeftCell="I11" activePane="bottomRight" state="frozen"/>
      <selection activeCell="A10" sqref="A10"/>
      <selection pane="topRight" activeCell="B10" sqref="B10"/>
      <selection pane="bottomLeft" activeCell="A11" sqref="A11"/>
      <selection pane="bottomRight" activeCell="M11" sqref="M11"/>
    </sheetView>
  </sheetViews>
  <sheetFormatPr baseColWidth="10" defaultColWidth="11.1640625" defaultRowHeight="15" x14ac:dyDescent="0.2"/>
  <cols>
    <col min="1" max="1" width="19" style="4" customWidth="1"/>
    <col min="2" max="2" width="26.6640625" style="4" customWidth="1"/>
    <col min="3" max="3" width="20.1640625" style="4" customWidth="1"/>
    <col min="4" max="4" width="19.1640625" style="4" customWidth="1"/>
    <col min="5" max="5" width="40.33203125" style="4" customWidth="1"/>
    <col min="6" max="6" width="19.1640625" style="4" customWidth="1"/>
    <col min="7" max="7" width="69" style="4" customWidth="1"/>
    <col min="8" max="8" width="19.1640625" style="4" customWidth="1"/>
    <col min="9" max="9" width="69" style="4" customWidth="1"/>
    <col min="10" max="10" width="12.33203125" style="4" customWidth="1"/>
    <col min="11" max="11" width="16.1640625" style="4" customWidth="1"/>
    <col min="12" max="12" width="20" style="4" customWidth="1"/>
    <col min="13" max="14" width="23.1640625" style="4" customWidth="1"/>
    <col min="15" max="16" width="18.6640625" style="4" customWidth="1"/>
    <col min="17" max="17" width="19.1640625" style="5" hidden="1" customWidth="1"/>
    <col min="18" max="49" width="27.1640625" style="4" customWidth="1"/>
    <col min="50" max="52" width="22.6640625" style="35" customWidth="1"/>
    <col min="53" max="53" width="27.1640625" style="4" customWidth="1"/>
    <col min="54" max="54" width="16.1640625" style="4" customWidth="1"/>
    <col min="55" max="55" width="20.1640625" style="4" customWidth="1"/>
    <col min="56" max="56" width="19.6640625" style="4" customWidth="1"/>
    <col min="57" max="57" width="21.1640625" style="4" customWidth="1"/>
    <col min="58" max="58" width="22.6640625" style="1" bestFit="1" customWidth="1"/>
    <col min="59" max="59" width="33" style="1" bestFit="1" customWidth="1"/>
    <col min="60" max="60" width="28.6640625" style="1" bestFit="1" customWidth="1"/>
    <col min="61" max="61" width="58.1640625" style="1" bestFit="1" customWidth="1"/>
    <col min="62" max="62" width="26" style="1" bestFit="1" customWidth="1"/>
    <col min="63" max="63" width="24.1640625" style="1" bestFit="1" customWidth="1"/>
    <col min="64" max="64" width="35.1640625" style="1" bestFit="1" customWidth="1"/>
    <col min="65" max="65" width="30.1640625" style="1" bestFit="1" customWidth="1"/>
    <col min="66" max="66" width="31.1640625" style="1" bestFit="1" customWidth="1"/>
    <col min="67" max="67" width="38" style="1" bestFit="1" customWidth="1"/>
    <col min="68" max="68" width="40.1640625" style="1" bestFit="1" customWidth="1"/>
    <col min="69" max="69" width="43.1640625" style="1" bestFit="1" customWidth="1"/>
    <col min="70" max="70" width="48.6640625" style="1" bestFit="1" customWidth="1"/>
    <col min="71" max="71" width="39.1640625" style="1" bestFit="1" customWidth="1"/>
    <col min="72" max="72" width="26.6640625" style="1" bestFit="1" customWidth="1"/>
    <col min="73" max="73" width="47" style="1" bestFit="1" customWidth="1"/>
    <col min="74" max="74" width="40" style="1" bestFit="1" customWidth="1"/>
    <col min="75" max="75" width="83.6640625" style="1" bestFit="1" customWidth="1"/>
    <col min="76" max="76" width="21.1640625" style="1" bestFit="1" customWidth="1"/>
    <col min="77" max="77" width="31.1640625" style="1" bestFit="1" customWidth="1"/>
    <col min="78" max="78" width="27.1640625" style="1" bestFit="1" customWidth="1"/>
    <col min="79" max="79" width="56.6640625" style="1" bestFit="1" customWidth="1"/>
    <col min="80" max="80" width="24.1640625" style="1" bestFit="1" customWidth="1"/>
    <col min="81" max="81" width="22.6640625" style="1" bestFit="1" customWidth="1"/>
    <col min="82" max="82" width="33.6640625" style="1" bestFit="1" customWidth="1"/>
    <col min="83" max="83" width="29" style="1" bestFit="1" customWidth="1"/>
    <col min="84" max="84" width="29.6640625" style="1" bestFit="1" customWidth="1"/>
    <col min="85" max="85" width="36.1640625" style="1" bestFit="1" customWidth="1"/>
    <col min="86" max="86" width="38.6640625" style="1" bestFit="1" customWidth="1"/>
    <col min="87" max="87" width="42" style="1" bestFit="1" customWidth="1"/>
    <col min="88" max="88" width="47.1640625" style="1" bestFit="1" customWidth="1"/>
    <col min="89" max="89" width="37.6640625" style="1" bestFit="1" customWidth="1"/>
    <col min="90" max="90" width="25.1640625" style="1" bestFit="1" customWidth="1"/>
    <col min="91" max="91" width="45.1640625" style="1" bestFit="1" customWidth="1"/>
    <col min="92" max="92" width="38.1640625" style="1" bestFit="1" customWidth="1"/>
    <col min="93" max="93" width="82.1640625" style="1" bestFit="1" customWidth="1"/>
    <col min="94" max="94" width="22" style="1" bestFit="1" customWidth="1"/>
    <col min="95" max="95" width="32.1640625" style="1" bestFit="1" customWidth="1"/>
    <col min="96" max="96" width="28" style="1" bestFit="1" customWidth="1"/>
    <col min="97" max="97" width="57.1640625" style="1" bestFit="1" customWidth="1"/>
    <col min="98" max="98" width="25.1640625" style="1" bestFit="1" customWidth="1"/>
    <col min="99" max="99" width="23.1640625" style="1" bestFit="1" customWidth="1"/>
    <col min="100" max="100" width="34.1640625" style="1" bestFit="1" customWidth="1"/>
    <col min="101" max="101" width="29.1640625" style="1" bestFit="1" customWidth="1"/>
    <col min="102" max="102" width="30.1640625" style="1" bestFit="1" customWidth="1"/>
    <col min="103" max="103" width="37.1640625" style="1" bestFit="1" customWidth="1"/>
    <col min="104" max="104" width="39.1640625" style="1" bestFit="1" customWidth="1"/>
    <col min="105" max="105" width="42.1640625" style="1" bestFit="1" customWidth="1"/>
    <col min="106" max="106" width="48" style="1" bestFit="1" customWidth="1"/>
    <col min="107" max="107" width="38.1640625" style="1" bestFit="1" customWidth="1"/>
    <col min="108" max="108" width="25.6640625" style="1" bestFit="1" customWidth="1"/>
    <col min="109" max="109" width="46" style="1" bestFit="1" customWidth="1"/>
    <col min="110" max="110" width="39.1640625" style="1" bestFit="1" customWidth="1"/>
    <col min="111" max="111" width="82.6640625" style="1" bestFit="1" customWidth="1"/>
    <col min="112" max="112" width="20" style="1" bestFit="1" customWidth="1"/>
    <col min="113" max="113" width="30.1640625" style="1" bestFit="1" customWidth="1"/>
    <col min="114" max="114" width="26" style="1" bestFit="1" customWidth="1"/>
    <col min="115" max="115" width="55.1640625" style="1" bestFit="1" customWidth="1"/>
    <col min="116" max="116" width="23.1640625" style="1" bestFit="1" customWidth="1"/>
    <col min="117" max="117" width="21.1640625" style="1" bestFit="1" customWidth="1"/>
    <col min="118" max="118" width="32.1640625" style="1" bestFit="1" customWidth="1"/>
    <col min="119" max="119" width="27.6640625" style="1" bestFit="1" customWidth="1"/>
    <col min="120" max="120" width="28.1640625" style="1" bestFit="1" customWidth="1"/>
    <col min="121" max="121" width="35.1640625" style="1" bestFit="1" customWidth="1"/>
    <col min="122" max="122" width="37.1640625" style="1" bestFit="1" customWidth="1"/>
    <col min="123" max="123" width="40.1640625" style="1" bestFit="1" customWidth="1"/>
    <col min="124" max="124" width="46" style="1" bestFit="1" customWidth="1"/>
    <col min="125" max="125" width="36.1640625" style="1" bestFit="1" customWidth="1"/>
    <col min="126" max="126" width="24" style="1" bestFit="1" customWidth="1"/>
    <col min="127" max="127" width="44.1640625" style="1" bestFit="1" customWidth="1"/>
    <col min="128" max="128" width="37.1640625" style="1" bestFit="1" customWidth="1"/>
    <col min="129" max="129" width="80.6640625" style="1" bestFit="1" customWidth="1"/>
    <col min="130" max="130" width="37.1640625" style="1" bestFit="1" customWidth="1"/>
    <col min="131" max="131" width="22.6640625" style="1" bestFit="1" customWidth="1"/>
    <col min="132" max="132" width="33" style="1" bestFit="1" customWidth="1"/>
    <col min="133" max="133" width="28.6640625" style="1" bestFit="1" customWidth="1"/>
    <col min="134" max="134" width="58.1640625" style="1" bestFit="1" customWidth="1"/>
    <col min="135" max="135" width="26" style="1" bestFit="1" customWidth="1"/>
    <col min="136" max="136" width="24.1640625" style="1" bestFit="1" customWidth="1"/>
    <col min="137" max="137" width="35.1640625" style="1" bestFit="1" customWidth="1"/>
    <col min="138" max="138" width="30.1640625" style="1" bestFit="1" customWidth="1"/>
    <col min="139" max="139" width="31.1640625" style="1" bestFit="1" customWidth="1"/>
    <col min="140" max="140" width="38" style="1" bestFit="1" customWidth="1"/>
    <col min="141" max="141" width="40.1640625" style="1" bestFit="1" customWidth="1"/>
    <col min="142" max="142" width="43.1640625" style="1" bestFit="1" customWidth="1"/>
    <col min="143" max="143" width="48.6640625" style="1" bestFit="1" customWidth="1"/>
    <col min="144" max="144" width="39.1640625" style="1" bestFit="1" customWidth="1"/>
    <col min="145" max="145" width="26.6640625" style="1" bestFit="1" customWidth="1"/>
    <col min="146" max="146" width="47" style="1" bestFit="1" customWidth="1"/>
    <col min="147" max="147" width="40" style="1" bestFit="1" customWidth="1"/>
    <col min="148" max="148" width="83.6640625" style="1" bestFit="1" customWidth="1"/>
    <col min="149" max="149" width="21.1640625" style="1" bestFit="1" customWidth="1"/>
    <col min="150" max="150" width="31.1640625" style="1" bestFit="1" customWidth="1"/>
    <col min="151" max="151" width="27.1640625" style="1" bestFit="1" customWidth="1"/>
    <col min="152" max="152" width="56.6640625" style="1" bestFit="1" customWidth="1"/>
    <col min="153" max="153" width="24.1640625" style="1" bestFit="1" customWidth="1"/>
    <col min="154" max="154" width="22.6640625" style="1" bestFit="1" customWidth="1"/>
    <col min="155" max="155" width="33.6640625" style="1" bestFit="1" customWidth="1"/>
    <col min="156" max="156" width="29" style="1" bestFit="1" customWidth="1"/>
    <col min="157" max="157" width="29.6640625" style="1" bestFit="1" customWidth="1"/>
    <col min="158" max="158" width="36.1640625" style="1" bestFit="1" customWidth="1"/>
    <col min="159" max="159" width="38.6640625" style="1" bestFit="1" customWidth="1"/>
    <col min="160" max="160" width="42" style="1" bestFit="1" customWidth="1"/>
    <col min="161" max="161" width="47.1640625" style="1" bestFit="1" customWidth="1"/>
    <col min="162" max="162" width="37.6640625" style="1" bestFit="1" customWidth="1"/>
    <col min="163" max="163" width="25.1640625" style="1" bestFit="1" customWidth="1"/>
    <col min="164" max="164" width="45.1640625" style="1" bestFit="1" customWidth="1"/>
    <col min="165" max="165" width="38.1640625" style="1" bestFit="1" customWidth="1"/>
    <col min="166" max="166" width="82.1640625" style="1" bestFit="1" customWidth="1"/>
    <col min="167" max="167" width="22" style="1" bestFit="1" customWidth="1"/>
    <col min="168" max="168" width="32.1640625" style="1" bestFit="1" customWidth="1"/>
    <col min="169" max="169" width="28" style="1" bestFit="1" customWidth="1"/>
    <col min="170" max="170" width="57.1640625" style="1" bestFit="1" customWidth="1"/>
    <col min="171" max="171" width="25.1640625" style="1" bestFit="1" customWidth="1"/>
    <col min="172" max="172" width="23.1640625" style="1" bestFit="1" customWidth="1"/>
    <col min="173" max="173" width="34.1640625" style="1" bestFit="1" customWidth="1"/>
    <col min="174" max="174" width="29.1640625" style="1" bestFit="1" customWidth="1"/>
    <col min="175" max="175" width="30.1640625" style="1" bestFit="1" customWidth="1"/>
    <col min="176" max="176" width="37.1640625" style="1" bestFit="1" customWidth="1"/>
    <col min="177" max="177" width="39.1640625" style="1" bestFit="1" customWidth="1"/>
    <col min="178" max="178" width="42.1640625" style="1" bestFit="1" customWidth="1"/>
    <col min="179" max="179" width="48" style="1" bestFit="1" customWidth="1"/>
    <col min="180" max="180" width="38.1640625" style="1" bestFit="1" customWidth="1"/>
    <col min="181" max="181" width="25.6640625" style="1" bestFit="1" customWidth="1"/>
    <col min="182" max="182" width="46" style="1" bestFit="1" customWidth="1"/>
    <col min="183" max="183" width="39.1640625" style="1" bestFit="1" customWidth="1"/>
    <col min="184" max="184" width="82.6640625" style="1" bestFit="1" customWidth="1"/>
    <col min="185" max="185" width="20" style="1" bestFit="1" customWidth="1"/>
    <col min="186" max="186" width="30.1640625" style="1" bestFit="1" customWidth="1"/>
    <col min="187" max="187" width="26" style="1" bestFit="1" customWidth="1"/>
    <col min="188" max="188" width="55.1640625" style="1" bestFit="1" customWidth="1"/>
    <col min="189" max="189" width="23.1640625" style="1" bestFit="1" customWidth="1"/>
    <col min="190" max="190" width="21.1640625" style="1" bestFit="1" customWidth="1"/>
    <col min="191" max="191" width="32.1640625" style="1" bestFit="1" customWidth="1"/>
    <col min="192" max="192" width="27.6640625" style="1" bestFit="1" customWidth="1"/>
    <col min="193" max="193" width="28.1640625" style="1" bestFit="1" customWidth="1"/>
    <col min="194" max="194" width="35.1640625" style="1" bestFit="1" customWidth="1"/>
    <col min="195" max="195" width="37.1640625" style="1" bestFit="1" customWidth="1"/>
    <col min="196" max="196" width="40.1640625" style="1" bestFit="1" customWidth="1"/>
    <col min="197" max="197" width="46" style="1" bestFit="1" customWidth="1"/>
    <col min="198" max="198" width="36.1640625" style="1" bestFit="1" customWidth="1"/>
    <col min="199" max="199" width="24" style="1" bestFit="1" customWidth="1"/>
    <col min="200" max="200" width="44.1640625" style="1" bestFit="1" customWidth="1"/>
    <col min="201" max="201" width="37.1640625" style="1" bestFit="1" customWidth="1"/>
    <col min="202" max="202" width="80.6640625" style="1" bestFit="1" customWidth="1"/>
    <col min="203" max="203" width="37.1640625" style="1" bestFit="1" customWidth="1"/>
    <col min="204" max="204" width="22.6640625" style="1" bestFit="1" customWidth="1"/>
    <col min="205" max="205" width="33" style="1" bestFit="1" customWidth="1"/>
    <col min="206" max="206" width="28.6640625" style="1" bestFit="1" customWidth="1"/>
    <col min="207" max="207" width="58.1640625" style="1" bestFit="1" customWidth="1"/>
    <col min="208" max="208" width="26" style="1" bestFit="1" customWidth="1"/>
    <col min="209" max="209" width="24.1640625" style="1" bestFit="1" customWidth="1"/>
    <col min="210" max="210" width="35.1640625" style="1" bestFit="1" customWidth="1"/>
    <col min="211" max="211" width="30.1640625" style="1" bestFit="1" customWidth="1"/>
    <col min="212" max="212" width="31.1640625" style="1" bestFit="1" customWidth="1"/>
    <col min="213" max="213" width="38" style="1" bestFit="1" customWidth="1"/>
    <col min="214" max="214" width="40.1640625" style="1" bestFit="1" customWidth="1"/>
    <col min="215" max="215" width="43.1640625" style="1" bestFit="1" customWidth="1"/>
    <col min="216" max="216" width="48.6640625" style="1" bestFit="1" customWidth="1"/>
    <col min="217" max="217" width="39.1640625" style="1" bestFit="1" customWidth="1"/>
    <col min="218" max="218" width="26.6640625" style="1" bestFit="1" customWidth="1"/>
    <col min="219" max="219" width="47" style="1" bestFit="1" customWidth="1"/>
    <col min="220" max="220" width="40" style="1" bestFit="1" customWidth="1"/>
    <col min="221" max="221" width="83.6640625" style="1" bestFit="1" customWidth="1"/>
    <col min="222" max="222" width="21.1640625" style="1" bestFit="1" customWidth="1"/>
    <col min="223" max="223" width="31.1640625" style="1" bestFit="1" customWidth="1"/>
    <col min="224" max="224" width="27.1640625" style="1" bestFit="1" customWidth="1"/>
    <col min="225" max="225" width="56.6640625" style="1" bestFit="1" customWidth="1"/>
    <col min="226" max="226" width="24.1640625" style="1" bestFit="1" customWidth="1"/>
    <col min="227" max="227" width="22.6640625" style="1" bestFit="1" customWidth="1"/>
    <col min="228" max="228" width="33.6640625" style="1" bestFit="1" customWidth="1"/>
    <col min="229" max="229" width="29" style="1" bestFit="1" customWidth="1"/>
    <col min="230" max="230" width="29.6640625" style="1" bestFit="1" customWidth="1"/>
    <col min="231" max="231" width="36.1640625" style="1" bestFit="1" customWidth="1"/>
    <col min="232" max="232" width="38.6640625" style="1" bestFit="1" customWidth="1"/>
    <col min="233" max="233" width="42" style="1" bestFit="1" customWidth="1"/>
    <col min="234" max="234" width="47.1640625" style="1" bestFit="1" customWidth="1"/>
    <col min="235" max="235" width="37.6640625" style="1" bestFit="1" customWidth="1"/>
    <col min="236" max="236" width="25.1640625" style="1" bestFit="1" customWidth="1"/>
    <col min="237" max="237" width="45.1640625" style="1" bestFit="1" customWidth="1"/>
    <col min="238" max="238" width="38.1640625" style="1" bestFit="1" customWidth="1"/>
    <col min="239" max="239" width="82.1640625" style="1" bestFit="1" customWidth="1"/>
    <col min="240" max="240" width="22" style="1" bestFit="1" customWidth="1"/>
    <col min="241" max="241" width="32.1640625" style="1" bestFit="1" customWidth="1"/>
    <col min="242" max="242" width="28" style="1" bestFit="1" customWidth="1"/>
    <col min="243" max="243" width="57.1640625" style="1" bestFit="1" customWidth="1"/>
    <col min="244" max="244" width="25.1640625" style="1" bestFit="1" customWidth="1"/>
    <col min="245" max="245" width="23.1640625" style="1" bestFit="1" customWidth="1"/>
    <col min="246" max="246" width="34.1640625" style="1" bestFit="1" customWidth="1"/>
    <col min="247" max="247" width="29.1640625" style="1" bestFit="1" customWidth="1"/>
    <col min="248" max="248" width="30.1640625" style="1" bestFit="1" customWidth="1"/>
    <col min="249" max="249" width="37.1640625" style="1" bestFit="1" customWidth="1"/>
    <col min="250" max="250" width="39.1640625" style="1" bestFit="1" customWidth="1"/>
    <col min="251" max="251" width="42.1640625" style="1" bestFit="1" customWidth="1"/>
    <col min="252" max="252" width="48" style="1" bestFit="1" customWidth="1"/>
    <col min="253" max="253" width="38.1640625" style="1" bestFit="1" customWidth="1"/>
    <col min="254" max="254" width="25.6640625" style="1" bestFit="1" customWidth="1"/>
    <col min="255" max="255" width="46" style="1" bestFit="1" customWidth="1"/>
    <col min="256" max="256" width="39.1640625" style="1" bestFit="1" customWidth="1"/>
    <col min="257" max="257" width="82.6640625" style="1" bestFit="1" customWidth="1"/>
    <col min="258" max="258" width="20" style="1" bestFit="1" customWidth="1"/>
    <col min="259" max="259" width="30.1640625" style="1" bestFit="1" customWidth="1"/>
    <col min="260" max="260" width="26" style="1" bestFit="1" customWidth="1"/>
    <col min="261" max="261" width="55.1640625" style="1" bestFit="1" customWidth="1"/>
    <col min="262" max="262" width="23.1640625" style="1" bestFit="1" customWidth="1"/>
    <col min="263" max="263" width="21.1640625" style="1" bestFit="1" customWidth="1"/>
    <col min="264" max="264" width="32.1640625" style="1" bestFit="1" customWidth="1"/>
    <col min="265" max="265" width="27.6640625" style="1" bestFit="1" customWidth="1"/>
    <col min="266" max="266" width="28.1640625" style="1" bestFit="1" customWidth="1"/>
    <col min="267" max="267" width="35.1640625" style="1" bestFit="1" customWidth="1"/>
    <col min="268" max="268" width="37.1640625" style="1" bestFit="1" customWidth="1"/>
    <col min="269" max="269" width="40.1640625" style="1" bestFit="1" customWidth="1"/>
    <col min="270" max="270" width="46" style="1" bestFit="1" customWidth="1"/>
    <col min="271" max="271" width="36.1640625" style="1" bestFit="1" customWidth="1"/>
    <col min="272" max="272" width="24" style="1" bestFit="1" customWidth="1"/>
    <col min="273" max="273" width="44.1640625" style="1" bestFit="1" customWidth="1"/>
    <col min="274" max="274" width="37.1640625" style="1" bestFit="1" customWidth="1"/>
    <col min="275" max="275" width="80.6640625" style="1" bestFit="1" customWidth="1"/>
    <col min="276" max="276" width="37.1640625" style="1" bestFit="1" customWidth="1"/>
    <col min="277" max="277" width="22.6640625" style="1" bestFit="1" customWidth="1"/>
    <col min="278" max="278" width="33" style="1" bestFit="1" customWidth="1"/>
    <col min="279" max="279" width="28.6640625" style="1" bestFit="1" customWidth="1"/>
    <col min="280" max="280" width="58.1640625" style="1" bestFit="1" customWidth="1"/>
    <col min="281" max="281" width="26" style="1" bestFit="1" customWidth="1"/>
    <col min="282" max="282" width="24.1640625" style="1" bestFit="1" customWidth="1"/>
    <col min="283" max="283" width="35.1640625" style="1" bestFit="1" customWidth="1"/>
    <col min="284" max="284" width="30.1640625" style="1" bestFit="1" customWidth="1"/>
    <col min="285" max="285" width="31.1640625" style="1" bestFit="1" customWidth="1"/>
    <col min="286" max="286" width="38" style="1" bestFit="1" customWidth="1"/>
    <col min="287" max="287" width="40.1640625" style="1" bestFit="1" customWidth="1"/>
    <col min="288" max="288" width="43.1640625" style="1" bestFit="1" customWidth="1"/>
    <col min="289" max="289" width="48.6640625" style="1" bestFit="1" customWidth="1"/>
    <col min="290" max="290" width="39.1640625" style="1" bestFit="1" customWidth="1"/>
    <col min="291" max="291" width="26.6640625" style="1" bestFit="1" customWidth="1"/>
    <col min="292" max="292" width="47" style="1" bestFit="1" customWidth="1"/>
    <col min="293" max="293" width="40" style="1" bestFit="1" customWidth="1"/>
    <col min="294" max="294" width="83.6640625" style="1" bestFit="1" customWidth="1"/>
    <col min="295" max="295" width="21.1640625" style="1" bestFit="1" customWidth="1"/>
    <col min="296" max="296" width="31.1640625" style="1" bestFit="1" customWidth="1"/>
    <col min="297" max="297" width="27.1640625" style="1" bestFit="1" customWidth="1"/>
    <col min="298" max="298" width="56.6640625" style="1" bestFit="1" customWidth="1"/>
    <col min="299" max="299" width="24.1640625" style="1" bestFit="1" customWidth="1"/>
    <col min="300" max="300" width="22.6640625" style="1" bestFit="1" customWidth="1"/>
    <col min="301" max="301" width="33.6640625" style="1" bestFit="1" customWidth="1"/>
    <col min="302" max="302" width="29" style="1" bestFit="1" customWidth="1"/>
    <col min="303" max="303" width="29.6640625" style="1" bestFit="1" customWidth="1"/>
    <col min="304" max="304" width="36.1640625" style="1" bestFit="1" customWidth="1"/>
    <col min="305" max="305" width="38.6640625" style="1" bestFit="1" customWidth="1"/>
    <col min="306" max="306" width="42" style="1" bestFit="1" customWidth="1"/>
    <col min="307" max="307" width="47.1640625" style="1" bestFit="1" customWidth="1"/>
    <col min="308" max="308" width="37.6640625" style="1" bestFit="1" customWidth="1"/>
    <col min="309" max="309" width="25.1640625" style="1" bestFit="1" customWidth="1"/>
    <col min="310" max="310" width="45.1640625" style="1" bestFit="1" customWidth="1"/>
    <col min="311" max="311" width="38.1640625" style="1" bestFit="1" customWidth="1"/>
    <col min="312" max="312" width="82.1640625" style="1" bestFit="1" customWidth="1"/>
    <col min="313" max="313" width="22" style="1" bestFit="1" customWidth="1"/>
    <col min="314" max="314" width="32.1640625" style="1" bestFit="1" customWidth="1"/>
    <col min="315" max="315" width="28" style="1" bestFit="1" customWidth="1"/>
    <col min="316" max="316" width="57.1640625" style="1" bestFit="1" customWidth="1"/>
    <col min="317" max="317" width="25.1640625" style="1" bestFit="1" customWidth="1"/>
    <col min="318" max="318" width="23.1640625" style="1" bestFit="1" customWidth="1"/>
    <col min="319" max="319" width="34.1640625" style="1" bestFit="1" customWidth="1"/>
    <col min="320" max="320" width="29.1640625" style="1" bestFit="1" customWidth="1"/>
    <col min="321" max="321" width="30.1640625" style="1" bestFit="1" customWidth="1"/>
    <col min="322" max="322" width="37.1640625" style="1" bestFit="1" customWidth="1"/>
    <col min="323" max="323" width="39.1640625" style="1" bestFit="1" customWidth="1"/>
    <col min="324" max="324" width="42.1640625" style="1" bestFit="1" customWidth="1"/>
    <col min="325" max="325" width="48" style="1" bestFit="1" customWidth="1"/>
    <col min="326" max="326" width="38.1640625" style="1" bestFit="1" customWidth="1"/>
    <col min="327" max="327" width="25.6640625" style="1" bestFit="1" customWidth="1"/>
    <col min="328" max="328" width="46" style="1" bestFit="1" customWidth="1"/>
    <col min="329" max="329" width="39.1640625" style="1" bestFit="1" customWidth="1"/>
    <col min="330" max="330" width="82.6640625" style="1" bestFit="1" customWidth="1"/>
    <col min="331" max="331" width="20" style="1" bestFit="1" customWidth="1"/>
    <col min="332" max="332" width="30.1640625" style="1" bestFit="1" customWidth="1"/>
    <col min="333" max="333" width="26" style="1" bestFit="1" customWidth="1"/>
    <col min="334" max="334" width="55.1640625" style="1" bestFit="1" customWidth="1"/>
    <col min="335" max="335" width="23.1640625" style="1" bestFit="1" customWidth="1"/>
    <col min="336" max="336" width="21.1640625" style="1" bestFit="1" customWidth="1"/>
    <col min="337" max="337" width="32.1640625" style="1" bestFit="1" customWidth="1"/>
    <col min="338" max="338" width="27.6640625" style="1" bestFit="1" customWidth="1"/>
    <col min="339" max="339" width="28.1640625" style="1" bestFit="1" customWidth="1"/>
    <col min="340" max="340" width="35.1640625" style="1" bestFit="1" customWidth="1"/>
    <col min="341" max="341" width="37.1640625" style="1" bestFit="1" customWidth="1"/>
    <col min="342" max="342" width="40.1640625" style="1" bestFit="1" customWidth="1"/>
    <col min="343" max="343" width="46" style="1" bestFit="1" customWidth="1"/>
    <col min="344" max="344" width="36.1640625" style="1" bestFit="1" customWidth="1"/>
    <col min="345" max="345" width="24" style="1" bestFit="1" customWidth="1"/>
    <col min="346" max="346" width="44.1640625" style="1" bestFit="1" customWidth="1"/>
    <col min="347" max="347" width="37.1640625" style="1" bestFit="1" customWidth="1"/>
    <col min="348" max="348" width="80.6640625" style="1" bestFit="1" customWidth="1"/>
    <col min="349" max="349" width="37.1640625" style="1" bestFit="1" customWidth="1"/>
    <col min="350" max="16384" width="11.1640625" style="1"/>
  </cols>
  <sheetData>
    <row r="1" spans="1:57" ht="30" customHeight="1" thickTop="1" x14ac:dyDescent="0.2">
      <c r="A1" s="124"/>
      <c r="B1" s="125"/>
      <c r="C1" s="138" t="s">
        <v>31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40"/>
      <c r="BC1" s="147" t="s">
        <v>32</v>
      </c>
      <c r="BD1" s="148"/>
      <c r="BE1" s="149"/>
    </row>
    <row r="2" spans="1:57" ht="30" customHeight="1" x14ac:dyDescent="0.2">
      <c r="A2" s="126"/>
      <c r="B2" s="127"/>
      <c r="C2" s="141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3"/>
      <c r="BC2" s="159" t="s">
        <v>122</v>
      </c>
      <c r="BD2" s="160"/>
      <c r="BE2" s="161"/>
    </row>
    <row r="3" spans="1:57" ht="30" customHeight="1" x14ac:dyDescent="0.2">
      <c r="A3" s="126"/>
      <c r="B3" s="127"/>
      <c r="C3" s="141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3"/>
      <c r="BC3" s="150" t="s">
        <v>123</v>
      </c>
      <c r="BD3" s="151"/>
      <c r="BE3" s="152"/>
    </row>
    <row r="4" spans="1:57" ht="30" customHeight="1" thickBot="1" x14ac:dyDescent="0.25">
      <c r="A4" s="128"/>
      <c r="B4" s="129"/>
      <c r="C4" s="144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6"/>
      <c r="BC4" s="153" t="s">
        <v>125</v>
      </c>
      <c r="BD4" s="154"/>
      <c r="BE4" s="155"/>
    </row>
    <row r="5" spans="1:57" ht="23.25" customHeight="1" thickTop="1" x14ac:dyDescent="0.2">
      <c r="Q5" s="4"/>
      <c r="BE5" s="11"/>
    </row>
    <row r="6" spans="1:57" ht="28.5" customHeight="1" thickBot="1" x14ac:dyDescent="0.25">
      <c r="B6" s="3" t="s">
        <v>28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36"/>
      <c r="AY6" s="36"/>
      <c r="AZ6" s="36"/>
      <c r="BA6" s="6"/>
      <c r="BB6" s="6"/>
      <c r="BC6" s="12"/>
      <c r="BD6" s="12"/>
      <c r="BE6" s="13"/>
    </row>
    <row r="7" spans="1:57" ht="37.25" customHeight="1" thickBot="1" x14ac:dyDescent="0.25">
      <c r="A7" s="1"/>
      <c r="B7" s="8">
        <v>2025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36"/>
      <c r="AY7" s="36"/>
      <c r="AZ7" s="36"/>
      <c r="BA7" s="6"/>
      <c r="BB7" s="6"/>
      <c r="BC7" s="12"/>
      <c r="BD7" s="12"/>
      <c r="BE7" s="13"/>
    </row>
    <row r="8" spans="1:57" ht="8.75" customHeight="1" thickBot="1" x14ac:dyDescent="0.25">
      <c r="A8" s="1"/>
      <c r="B8" s="1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36"/>
      <c r="AY8" s="36"/>
      <c r="AZ8" s="36"/>
      <c r="BA8" s="6"/>
      <c r="BB8" s="6"/>
      <c r="BC8" s="12"/>
      <c r="BD8" s="12"/>
      <c r="BE8" s="13"/>
    </row>
    <row r="9" spans="1:57" s="2" customFormat="1" ht="38" customHeight="1" thickBot="1" x14ac:dyDescent="0.25">
      <c r="A9" s="130" t="s">
        <v>27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 t="s">
        <v>26</v>
      </c>
      <c r="P9" s="132"/>
      <c r="Q9" s="133"/>
      <c r="R9" s="134" t="s">
        <v>24</v>
      </c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6"/>
      <c r="AF9" s="137"/>
      <c r="AG9" s="131" t="s">
        <v>23</v>
      </c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3"/>
      <c r="AX9" s="156" t="s">
        <v>44</v>
      </c>
      <c r="AY9" s="157"/>
      <c r="AZ9" s="158"/>
      <c r="BA9" s="132" t="s">
        <v>46</v>
      </c>
      <c r="BB9" s="132"/>
      <c r="BC9" s="122" t="s">
        <v>22</v>
      </c>
      <c r="BD9" s="123"/>
      <c r="BE9" s="14"/>
    </row>
    <row r="10" spans="1:57" s="2" customFormat="1" ht="57" customHeight="1" x14ac:dyDescent="0.2">
      <c r="A10" s="47" t="s">
        <v>20</v>
      </c>
      <c r="B10" s="47" t="s">
        <v>19</v>
      </c>
      <c r="C10" s="47" t="s">
        <v>18</v>
      </c>
      <c r="D10" s="47" t="s">
        <v>17</v>
      </c>
      <c r="E10" s="47" t="s">
        <v>16</v>
      </c>
      <c r="F10" s="47" t="s">
        <v>15</v>
      </c>
      <c r="G10" s="47" t="s">
        <v>14</v>
      </c>
      <c r="H10" s="47" t="s">
        <v>13</v>
      </c>
      <c r="I10" s="47" t="s">
        <v>12</v>
      </c>
      <c r="J10" s="47" t="s">
        <v>30</v>
      </c>
      <c r="K10" s="47" t="s">
        <v>29</v>
      </c>
      <c r="L10" s="47" t="s">
        <v>11</v>
      </c>
      <c r="M10" s="47" t="s">
        <v>33</v>
      </c>
      <c r="N10" s="47" t="s">
        <v>10</v>
      </c>
      <c r="O10" s="47" t="s">
        <v>39</v>
      </c>
      <c r="P10" s="47" t="s">
        <v>9</v>
      </c>
      <c r="Q10" s="47" t="s">
        <v>62</v>
      </c>
      <c r="R10" s="47" t="s">
        <v>47</v>
      </c>
      <c r="S10" s="47" t="s">
        <v>48</v>
      </c>
      <c r="T10" s="47" t="s">
        <v>49</v>
      </c>
      <c r="U10" s="47" t="s">
        <v>50</v>
      </c>
      <c r="V10" s="47" t="s">
        <v>51</v>
      </c>
      <c r="W10" s="47" t="s">
        <v>52</v>
      </c>
      <c r="X10" s="47" t="s">
        <v>53</v>
      </c>
      <c r="Y10" s="47" t="s">
        <v>54</v>
      </c>
      <c r="Z10" s="47" t="s">
        <v>55</v>
      </c>
      <c r="AA10" s="47" t="s">
        <v>56</v>
      </c>
      <c r="AB10" s="47" t="s">
        <v>57</v>
      </c>
      <c r="AC10" s="47" t="s">
        <v>58</v>
      </c>
      <c r="AD10" s="47" t="s">
        <v>59</v>
      </c>
      <c r="AE10" s="47" t="s">
        <v>63</v>
      </c>
      <c r="AF10" s="47" t="s">
        <v>37</v>
      </c>
      <c r="AG10" s="47" t="s">
        <v>60</v>
      </c>
      <c r="AH10" s="47" t="s">
        <v>61</v>
      </c>
      <c r="AI10" s="47" t="s">
        <v>38</v>
      </c>
      <c r="AJ10" s="47" t="s">
        <v>129</v>
      </c>
      <c r="AK10" s="47" t="s">
        <v>128</v>
      </c>
      <c r="AL10" s="47" t="s">
        <v>127</v>
      </c>
      <c r="AM10" s="47" t="s">
        <v>126</v>
      </c>
      <c r="AN10" s="47" t="s">
        <v>130</v>
      </c>
      <c r="AO10" s="47" t="s">
        <v>131</v>
      </c>
      <c r="AP10" s="47" t="s">
        <v>132</v>
      </c>
      <c r="AQ10" s="47" t="s">
        <v>133</v>
      </c>
      <c r="AR10" s="47" t="s">
        <v>134</v>
      </c>
      <c r="AS10" s="47" t="s">
        <v>135</v>
      </c>
      <c r="AT10" s="47" t="s">
        <v>64</v>
      </c>
      <c r="AU10" s="47" t="s">
        <v>136</v>
      </c>
      <c r="AV10" s="47" t="s">
        <v>35</v>
      </c>
      <c r="AW10" s="47" t="s">
        <v>36</v>
      </c>
      <c r="AX10" s="48" t="s">
        <v>43</v>
      </c>
      <c r="AY10" s="48" t="s">
        <v>41</v>
      </c>
      <c r="AZ10" s="48" t="s">
        <v>40</v>
      </c>
      <c r="BA10" s="51" t="s">
        <v>45</v>
      </c>
      <c r="BB10" s="23" t="s">
        <v>42</v>
      </c>
      <c r="BC10" s="47" t="s">
        <v>1</v>
      </c>
      <c r="BD10" s="47" t="s">
        <v>0</v>
      </c>
      <c r="BE10" s="49" t="s">
        <v>21</v>
      </c>
    </row>
    <row r="11" spans="1:57" s="9" customFormat="1" ht="60" x14ac:dyDescent="0.2">
      <c r="A11" s="41">
        <v>17</v>
      </c>
      <c r="B11" s="28" t="s">
        <v>65</v>
      </c>
      <c r="C11" s="28" t="s">
        <v>66</v>
      </c>
      <c r="D11" s="28" t="s">
        <v>67</v>
      </c>
      <c r="E11" s="28" t="s">
        <v>68</v>
      </c>
      <c r="F11" s="28" t="s">
        <v>69</v>
      </c>
      <c r="G11" s="28" t="s">
        <v>70</v>
      </c>
      <c r="H11" s="28">
        <v>410204300</v>
      </c>
      <c r="I11" s="28" t="s">
        <v>111</v>
      </c>
      <c r="J11" s="86">
        <v>0</v>
      </c>
      <c r="K11" s="28" t="s">
        <v>112</v>
      </c>
      <c r="L11" s="28" t="s">
        <v>120</v>
      </c>
      <c r="M11" s="86">
        <v>5000</v>
      </c>
      <c r="N11" s="42">
        <v>1300</v>
      </c>
      <c r="O11" s="45">
        <v>1163</v>
      </c>
      <c r="P11" s="50">
        <f>+Tabla1[[#This Row],[Logro Vigencia]]/Tabla1[[#This Row],[Meta Programada Vigencia]]</f>
        <v>0.89461538461538459</v>
      </c>
      <c r="Q11" s="52"/>
      <c r="R11" s="88">
        <f>+Tabla13[[#This Row],[Recursos propios]]</f>
        <v>221000000</v>
      </c>
      <c r="S11" s="16"/>
      <c r="T11" s="16"/>
      <c r="U11" s="16">
        <f>+Tabla13[[#This Row],[SGP Deporte]]</f>
        <v>0</v>
      </c>
      <c r="V11" s="16"/>
      <c r="W11" s="16"/>
      <c r="X11" s="16"/>
      <c r="Y11" s="16"/>
      <c r="Z11" s="16"/>
      <c r="AA11" s="16"/>
      <c r="AB11" s="16"/>
      <c r="AC11" s="16"/>
      <c r="AD11" s="16">
        <f>+Tabla13[[#This Row],[Otros ]]</f>
        <v>0</v>
      </c>
      <c r="AE11" s="16">
        <f>+Tabla13[[#This Row],[Recursos del Balance]]</f>
        <v>165000000</v>
      </c>
      <c r="AF11" s="56">
        <f>SUM(Tabla1[[#This Row],[Recursos propios]:[Recursos del Balance]])</f>
        <v>386000000</v>
      </c>
      <c r="AG11" s="78">
        <f>+Tabla13[[#This Row],[Recursos propios ]]</f>
        <v>215733332</v>
      </c>
      <c r="AH11" s="16"/>
      <c r="AI11" s="16"/>
      <c r="AJ11" s="16">
        <f>+Tabla13[[#This Row],[SGP Deporte2]]</f>
        <v>0</v>
      </c>
      <c r="AK11" s="16"/>
      <c r="AL11" s="16"/>
      <c r="AM11" s="16"/>
      <c r="AN11" s="16"/>
      <c r="AO11" s="16"/>
      <c r="AP11" s="16"/>
      <c r="AQ11" s="16"/>
      <c r="AR11" s="16"/>
      <c r="AS11" s="16">
        <f>+Tabla13[[#This Row],[Otros 2]]</f>
        <v>0</v>
      </c>
      <c r="AT11" s="16">
        <f>+Tabla13[[#This Row],[Recursos del Balance2]]</f>
        <v>157166666</v>
      </c>
      <c r="AU11" s="34">
        <f>SUM(Tabla1[[#This Row],[Recursos propios2]:[Recursos del Balance2]])</f>
        <v>372899998</v>
      </c>
      <c r="AV11" s="16">
        <f>+Tabla13[[#This Row],[Total Recursos Obligados]]</f>
        <v>255333332</v>
      </c>
      <c r="AW11" s="22">
        <f>+Tabla13[[#This Row],[Total Recursos Pagados]]</f>
        <v>250833332</v>
      </c>
      <c r="AX11" s="20">
        <f>+Tabla1[[#This Row],[Total Recursos Comprometido]]/Tabla1[[#This Row],[Total 2024]]</f>
        <v>0.9660621709844559</v>
      </c>
      <c r="AY11" s="17">
        <f>+Tabla1[[#This Row],[Total Recursos Obligados]]/Tabla1[[#This Row],[Total 2024]]</f>
        <v>0.6614853160621762</v>
      </c>
      <c r="AZ11" s="21">
        <f>+Tabla1[[#This Row],[Total Recursos Pagados]]/Tabla1[[#This Row],[Total 2024]]</f>
        <v>0.64982728497409326</v>
      </c>
      <c r="BA11" s="83"/>
      <c r="BB11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1" s="41" t="s">
        <v>109</v>
      </c>
      <c r="BD11" s="42" t="s">
        <v>152</v>
      </c>
      <c r="BE11" s="43" t="s">
        <v>110</v>
      </c>
    </row>
    <row r="12" spans="1:57" s="10" customFormat="1" ht="30" x14ac:dyDescent="0.2">
      <c r="A12" s="37">
        <v>130</v>
      </c>
      <c r="B12" s="28" t="s">
        <v>71</v>
      </c>
      <c r="C12" s="28" t="s">
        <v>72</v>
      </c>
      <c r="D12" s="29" t="s">
        <v>73</v>
      </c>
      <c r="E12" s="28" t="s">
        <v>74</v>
      </c>
      <c r="F12" s="29" t="s">
        <v>75</v>
      </c>
      <c r="G12" s="28" t="s">
        <v>76</v>
      </c>
      <c r="H12" s="29">
        <v>430100700</v>
      </c>
      <c r="I12" s="28" t="s">
        <v>113</v>
      </c>
      <c r="J12" s="87">
        <v>4000</v>
      </c>
      <c r="K12" s="29" t="s">
        <v>112</v>
      </c>
      <c r="L12" s="29" t="s">
        <v>120</v>
      </c>
      <c r="M12" s="87">
        <v>15000</v>
      </c>
      <c r="N12" s="38">
        <v>3500</v>
      </c>
      <c r="O12" s="39">
        <v>3954</v>
      </c>
      <c r="P12" s="40">
        <v>1</v>
      </c>
      <c r="Q12" s="53"/>
      <c r="R12" s="78">
        <f>+Tabla13[[#This Row],[Recursos propios]]</f>
        <v>301331575</v>
      </c>
      <c r="S12" s="15"/>
      <c r="T12" s="15"/>
      <c r="U12" s="16">
        <f>+Tabla13[[#This Row],[SGP Deporte]]</f>
        <v>748572000</v>
      </c>
      <c r="V12" s="15"/>
      <c r="W12" s="15"/>
      <c r="X12" s="15"/>
      <c r="Y12" s="15"/>
      <c r="Z12" s="15"/>
      <c r="AA12" s="15"/>
      <c r="AB12" s="15"/>
      <c r="AC12" s="15"/>
      <c r="AD12" s="16">
        <f>+Tabla13[[#This Row],[Otros ]]</f>
        <v>50000000</v>
      </c>
      <c r="AE12" s="15">
        <f>+Tabla13[[#This Row],[Recursos del Balance]]</f>
        <v>957047338</v>
      </c>
      <c r="AF12" s="57">
        <f>SUM(Tabla1[[#This Row],[Recursos propios]:[Recursos del Balance]])</f>
        <v>2056950913</v>
      </c>
      <c r="AG12" s="78">
        <f>+Tabla13[[#This Row],[Recursos propios ]]</f>
        <v>28428000</v>
      </c>
      <c r="AH12" s="15"/>
      <c r="AI12" s="15"/>
      <c r="AJ12" s="16">
        <f>+Tabla13[[#This Row],[SGP Deporte2]]</f>
        <v>727269999</v>
      </c>
      <c r="AK12" s="15"/>
      <c r="AL12" s="15"/>
      <c r="AM12" s="15"/>
      <c r="AN12" s="15"/>
      <c r="AO12" s="15"/>
      <c r="AP12" s="15"/>
      <c r="AQ12" s="15"/>
      <c r="AR12" s="15"/>
      <c r="AS12" s="16">
        <f>+Tabla13[[#This Row],[Otros 2]]</f>
        <v>30000000</v>
      </c>
      <c r="AT12" s="15">
        <f>+Tabla13[[#This Row],[Recursos del Balance2]]</f>
        <v>515797000.61000001</v>
      </c>
      <c r="AU12" s="34">
        <f>SUM(Tabla1[[#This Row],[Recursos propios2]:[Recursos del Balance2]])</f>
        <v>1301494999.6100001</v>
      </c>
      <c r="AV12" s="16">
        <f>+Tabla13[[#This Row],[Total Recursos Obligados]]</f>
        <v>910989999</v>
      </c>
      <c r="AW12" s="22">
        <f>+Tabla13[[#This Row],[Total Recursos Pagados]]</f>
        <v>896689999</v>
      </c>
      <c r="AX12" s="58">
        <f>+Tabla1[[#This Row],[Total Recursos Comprometido]]/Tabla1[[#This Row],[Total 2024]]</f>
        <v>0.63273021800593654</v>
      </c>
      <c r="AY12" s="18">
        <f>+Tabla1[[#This Row],[Total Recursos Obligados]]/Tabla1[[#This Row],[Total 2024]]</f>
        <v>0.44288368441002268</v>
      </c>
      <c r="AZ12" s="59">
        <f>+Tabla1[[#This Row],[Total Recursos Pagados]]/Tabla1[[#This Row],[Total 2024]]</f>
        <v>0.43593164685306224</v>
      </c>
      <c r="BA12" s="84"/>
      <c r="BB12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2" s="41" t="s">
        <v>109</v>
      </c>
      <c r="BD12" s="42" t="s">
        <v>152</v>
      </c>
      <c r="BE12" s="43">
        <v>3</v>
      </c>
    </row>
    <row r="13" spans="1:57" s="10" customFormat="1" ht="60" x14ac:dyDescent="0.2">
      <c r="A13" s="37">
        <v>131</v>
      </c>
      <c r="B13" s="28" t="s">
        <v>71</v>
      </c>
      <c r="C13" s="28" t="s">
        <v>72</v>
      </c>
      <c r="D13" s="29" t="s">
        <v>73</v>
      </c>
      <c r="E13" s="28" t="s">
        <v>74</v>
      </c>
      <c r="F13" s="29" t="s">
        <v>77</v>
      </c>
      <c r="G13" s="28" t="s">
        <v>78</v>
      </c>
      <c r="H13" s="29">
        <v>430103700</v>
      </c>
      <c r="I13" s="28" t="s">
        <v>114</v>
      </c>
      <c r="J13" s="29">
        <v>45300</v>
      </c>
      <c r="K13" s="29" t="s">
        <v>112</v>
      </c>
      <c r="L13" s="29" t="s">
        <v>120</v>
      </c>
      <c r="M13" s="28">
        <v>195000</v>
      </c>
      <c r="N13" s="42">
        <v>51500</v>
      </c>
      <c r="O13" s="45">
        <v>84617</v>
      </c>
      <c r="P13" s="40">
        <v>1</v>
      </c>
      <c r="Q13" s="53"/>
      <c r="R13" s="78">
        <f>+Tabla13[[#This Row],[Recursos propios]]</f>
        <v>720429196</v>
      </c>
      <c r="S13" s="15"/>
      <c r="T13" s="15"/>
      <c r="U13" s="16">
        <f>+Tabla13[[#This Row],[SGP Deporte]]</f>
        <v>2168606749</v>
      </c>
      <c r="V13" s="15"/>
      <c r="W13" s="15"/>
      <c r="X13" s="15"/>
      <c r="Y13" s="15"/>
      <c r="Z13" s="15"/>
      <c r="AA13" s="15"/>
      <c r="AB13" s="15"/>
      <c r="AC13" s="15"/>
      <c r="AD13" s="16">
        <f>+Tabla13[[#This Row],[Otros ]]</f>
        <v>262467625</v>
      </c>
      <c r="AE13" s="15">
        <f>+Tabla13[[#This Row],[Recursos del Balance]]</f>
        <v>1250293658.1800001</v>
      </c>
      <c r="AF13" s="57">
        <f>SUM(Tabla1[[#This Row],[Recursos propios]:[Recursos del Balance]])</f>
        <v>4401797228.1800003</v>
      </c>
      <c r="AG13" s="78">
        <f>+Tabla13[[#This Row],[Recursos propios ]]</f>
        <v>618736410</v>
      </c>
      <c r="AH13" s="15"/>
      <c r="AI13" s="15"/>
      <c r="AJ13" s="16">
        <f>+Tabla13[[#This Row],[SGP Deporte2]]</f>
        <v>2121489998</v>
      </c>
      <c r="AK13" s="15"/>
      <c r="AL13" s="15"/>
      <c r="AM13" s="15"/>
      <c r="AN13" s="15"/>
      <c r="AO13" s="15"/>
      <c r="AP13" s="15"/>
      <c r="AQ13" s="15"/>
      <c r="AR13" s="15"/>
      <c r="AS13" s="16">
        <f>+Tabla13[[#This Row],[Otros 2]]</f>
        <v>70000000</v>
      </c>
      <c r="AT13" s="15">
        <f>+Tabla13[[#This Row],[Recursos del Balance2]]</f>
        <v>1139892978</v>
      </c>
      <c r="AU13" s="34">
        <f>SUM(Tabla1[[#This Row],[Recursos propios2]:[Recursos del Balance2]])</f>
        <v>3950119386</v>
      </c>
      <c r="AV13" s="16">
        <f>+Tabla13[[#This Row],[Total Recursos Obligados]]</f>
        <v>2779617611.73</v>
      </c>
      <c r="AW13" s="22">
        <f>+Tabla13[[#This Row],[Total Recursos Pagados]]</f>
        <v>2726217611.73</v>
      </c>
      <c r="AX13" s="20">
        <f>+Tabla1[[#This Row],[Total Recursos Comprometido]]/Tabla1[[#This Row],[Total 2024]]</f>
        <v>0.89738785801208876</v>
      </c>
      <c r="AY13" s="17">
        <f>+Tabla1[[#This Row],[Total Recursos Obligados]]/Tabla1[[#This Row],[Total 2024]]</f>
        <v>0.63147334319152204</v>
      </c>
      <c r="AZ13" s="21">
        <f>+Tabla1[[#This Row],[Total Recursos Pagados]]/Tabla1[[#This Row],[Total 2024]]</f>
        <v>0.61934193476177046</v>
      </c>
      <c r="BA13" s="83"/>
      <c r="BB13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3" s="41" t="s">
        <v>109</v>
      </c>
      <c r="BD13" s="42" t="s">
        <v>152</v>
      </c>
      <c r="BE13" s="43">
        <v>3</v>
      </c>
    </row>
    <row r="14" spans="1:57" s="10" customFormat="1" ht="30" x14ac:dyDescent="0.2">
      <c r="A14" s="37">
        <v>132</v>
      </c>
      <c r="B14" s="28" t="s">
        <v>71</v>
      </c>
      <c r="C14" s="28" t="s">
        <v>72</v>
      </c>
      <c r="D14" s="29" t="s">
        <v>73</v>
      </c>
      <c r="E14" s="28" t="s">
        <v>74</v>
      </c>
      <c r="F14" s="29" t="s">
        <v>79</v>
      </c>
      <c r="G14" s="28" t="s">
        <v>80</v>
      </c>
      <c r="H14" s="29">
        <v>430100100</v>
      </c>
      <c r="I14" s="28" t="s">
        <v>115</v>
      </c>
      <c r="J14" s="87">
        <v>15000</v>
      </c>
      <c r="K14" s="29" t="s">
        <v>112</v>
      </c>
      <c r="L14" s="29" t="s">
        <v>120</v>
      </c>
      <c r="M14" s="86">
        <v>20000</v>
      </c>
      <c r="N14" s="42">
        <v>5000</v>
      </c>
      <c r="O14" s="45">
        <v>2349</v>
      </c>
      <c r="P14" s="40">
        <f>+Tabla1[[#This Row],[Logro Vigencia]]/Tabla1[[#This Row],[Meta Programada Vigencia]]</f>
        <v>0.4698</v>
      </c>
      <c r="Q14" s="53"/>
      <c r="R14" s="89">
        <f>+Tabla13[[#This Row],[Recursos propios]]</f>
        <v>1175000000</v>
      </c>
      <c r="S14" s="15"/>
      <c r="T14" s="15"/>
      <c r="U14" s="16">
        <f>+Tabla13[[#This Row],[SGP Deporte]]</f>
        <v>146617935</v>
      </c>
      <c r="V14" s="15"/>
      <c r="W14" s="15"/>
      <c r="X14" s="15"/>
      <c r="Y14" s="15"/>
      <c r="Z14" s="15"/>
      <c r="AA14" s="15"/>
      <c r="AB14" s="15"/>
      <c r="AC14" s="15"/>
      <c r="AD14" s="16">
        <f>+Tabla13[[#This Row],[Otros ]]</f>
        <v>0</v>
      </c>
      <c r="AE14" s="15">
        <f>+Tabla13[[#This Row],[Recursos del Balance]]</f>
        <v>146960575.44</v>
      </c>
      <c r="AF14" s="57">
        <f>SUM(Tabla1[[#This Row],[Recursos propios]:[Recursos del Balance]])</f>
        <v>1468578510.4400001</v>
      </c>
      <c r="AG14" s="78">
        <f>+Tabla13[[#This Row],[Recursos propios ]]</f>
        <v>329397383.56</v>
      </c>
      <c r="AH14" s="15"/>
      <c r="AI14" s="15"/>
      <c r="AJ14" s="16">
        <f>+Tabla13[[#This Row],[SGP Deporte2]]</f>
        <v>146617935</v>
      </c>
      <c r="AK14" s="15"/>
      <c r="AL14" s="15"/>
      <c r="AM14" s="15"/>
      <c r="AN14" s="15"/>
      <c r="AO14" s="15"/>
      <c r="AP14" s="15"/>
      <c r="AQ14" s="15"/>
      <c r="AR14" s="15"/>
      <c r="AS14" s="16">
        <f>+Tabla13[[#This Row],[Otros 2]]</f>
        <v>0</v>
      </c>
      <c r="AT14" s="15">
        <f>+Tabla13[[#This Row],[Recursos del Balance2]]</f>
        <v>146216552.44</v>
      </c>
      <c r="AU14" s="34">
        <f>SUM(Tabla1[[#This Row],[Recursos propios2]:[Recursos del Balance2]])</f>
        <v>622231871</v>
      </c>
      <c r="AV14" s="16">
        <f>+Tabla13[[#This Row],[Total Recursos Obligados]]</f>
        <v>384262000</v>
      </c>
      <c r="AW14" s="22">
        <f>+Tabla13[[#This Row],[Total Recursos Pagados]]</f>
        <v>379262000</v>
      </c>
      <c r="AX14" s="58">
        <f>+Tabla1[[#This Row],[Total Recursos Comprometido]]/Tabla1[[#This Row],[Total 2024]]</f>
        <v>0.42369670165851292</v>
      </c>
      <c r="AY14" s="18">
        <f>+Tabla1[[#This Row],[Total Recursos Obligados]]/Tabla1[[#This Row],[Total 2024]]</f>
        <v>0.26165574211273968</v>
      </c>
      <c r="AZ14" s="59">
        <f>+Tabla1[[#This Row],[Total Recursos Pagados]]/Tabla1[[#This Row],[Total 2024]]</f>
        <v>0.25825108927024237</v>
      </c>
      <c r="BA14" s="84"/>
      <c r="BB14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4" s="41" t="s">
        <v>109</v>
      </c>
      <c r="BD14" s="42" t="s">
        <v>152</v>
      </c>
      <c r="BE14" s="43">
        <v>3</v>
      </c>
    </row>
    <row r="15" spans="1:57" s="10" customFormat="1" ht="30" x14ac:dyDescent="0.2">
      <c r="A15" s="37">
        <v>133</v>
      </c>
      <c r="B15" s="28" t="s">
        <v>71</v>
      </c>
      <c r="C15" s="28" t="s">
        <v>72</v>
      </c>
      <c r="D15" s="29" t="s">
        <v>73</v>
      </c>
      <c r="E15" s="29" t="s">
        <v>74</v>
      </c>
      <c r="F15" s="29" t="s">
        <v>81</v>
      </c>
      <c r="G15" s="29" t="s">
        <v>82</v>
      </c>
      <c r="H15" s="29">
        <v>430100300</v>
      </c>
      <c r="I15" s="29" t="s">
        <v>116</v>
      </c>
      <c r="J15" s="29">
        <v>18</v>
      </c>
      <c r="K15" s="29" t="s">
        <v>112</v>
      </c>
      <c r="L15" s="29" t="s">
        <v>121</v>
      </c>
      <c r="M15" s="29">
        <v>18</v>
      </c>
      <c r="N15" s="38">
        <v>18</v>
      </c>
      <c r="O15" s="39">
        <v>18</v>
      </c>
      <c r="P15" s="44">
        <f>+Tabla1[[#This Row],[Logro Vigencia]]/Tabla1[[#This Row],[Meta Programada Vigencia]]</f>
        <v>1</v>
      </c>
      <c r="Q15" s="54"/>
      <c r="R15" s="78">
        <f>+Tabla13[[#This Row],[Recursos propios]]</f>
        <v>1348930450</v>
      </c>
      <c r="S15" s="15"/>
      <c r="T15" s="15"/>
      <c r="U15" s="16">
        <f>+Tabla13[[#This Row],[SGP Deporte]]</f>
        <v>0</v>
      </c>
      <c r="V15" s="15"/>
      <c r="W15" s="15"/>
      <c r="X15" s="15"/>
      <c r="Y15" s="15"/>
      <c r="Z15" s="15"/>
      <c r="AA15" s="15"/>
      <c r="AB15" s="15"/>
      <c r="AC15" s="15"/>
      <c r="AD15" s="16">
        <f>+Tabla13[[#This Row],[Otros ]]</f>
        <v>288987489</v>
      </c>
      <c r="AE15" s="15">
        <f>+Tabla13[[#This Row],[Recursos del Balance]]</f>
        <v>2383266063.5599999</v>
      </c>
      <c r="AF15" s="57">
        <f>SUM(Tabla1[[#This Row],[Recursos propios]:[Recursos del Balance]])</f>
        <v>4021184002.5599999</v>
      </c>
      <c r="AG15" s="78">
        <f>+Tabla13[[#This Row],[Recursos propios ]]</f>
        <v>1258010925</v>
      </c>
      <c r="AH15" s="15"/>
      <c r="AI15" s="15"/>
      <c r="AJ15" s="16">
        <f>+Tabla13[[#This Row],[SGP Deporte2]]</f>
        <v>0</v>
      </c>
      <c r="AK15" s="15"/>
      <c r="AL15" s="15"/>
      <c r="AM15" s="15"/>
      <c r="AN15" s="15"/>
      <c r="AO15" s="15"/>
      <c r="AP15" s="15"/>
      <c r="AQ15" s="15"/>
      <c r="AR15" s="15"/>
      <c r="AS15" s="16">
        <f>+Tabla13[[#This Row],[Otros 2]]</f>
        <v>110539943</v>
      </c>
      <c r="AT15" s="15">
        <f>+Tabla13[[#This Row],[Recursos del Balance2]]</f>
        <v>1824907591.9000001</v>
      </c>
      <c r="AU15" s="34">
        <f>SUM(Tabla1[[#This Row],[Recursos propios2]:[Recursos del Balance2]])</f>
        <v>3193458459.9000001</v>
      </c>
      <c r="AV15" s="16">
        <f>+Tabla13[[#This Row],[Total Recursos Obligados]]</f>
        <v>1782536993</v>
      </c>
      <c r="AW15" s="22">
        <f>+Tabla13[[#This Row],[Total Recursos Pagados]]</f>
        <v>1777536993</v>
      </c>
      <c r="AX15" s="19">
        <f>+Tabla1[[#This Row],[Total Recursos Comprometido]]/Tabla1[[#This Row],[Total 2024]]</f>
        <v>0.79415874972817802</v>
      </c>
      <c r="AY15" s="32">
        <f>+Tabla1[[#This Row],[Total Recursos Obligados]]/Tabla1[[#This Row],[Total 2024]]</f>
        <v>0.44328660212146132</v>
      </c>
      <c r="AZ15" s="33">
        <f>+Tabla1[[#This Row],[Total Recursos Pagados]]/Tabla1[[#This Row],[Total 2024]]</f>
        <v>0.44204318724742997</v>
      </c>
      <c r="BA15" s="85"/>
      <c r="BB15" s="62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5" s="41" t="s">
        <v>109</v>
      </c>
      <c r="BD15" s="42" t="s">
        <v>152</v>
      </c>
      <c r="BE15" s="43">
        <v>3</v>
      </c>
    </row>
    <row r="16" spans="1:57" s="10" customFormat="1" ht="30" x14ac:dyDescent="0.2">
      <c r="A16" s="37">
        <v>134</v>
      </c>
      <c r="B16" s="28" t="s">
        <v>71</v>
      </c>
      <c r="C16" s="28" t="s">
        <v>72</v>
      </c>
      <c r="D16" s="28" t="s">
        <v>73</v>
      </c>
      <c r="E16" s="28" t="s">
        <v>74</v>
      </c>
      <c r="F16" s="28" t="s">
        <v>83</v>
      </c>
      <c r="G16" s="28" t="s">
        <v>84</v>
      </c>
      <c r="H16" s="28">
        <v>430100400</v>
      </c>
      <c r="I16" s="28" t="s">
        <v>117</v>
      </c>
      <c r="J16" s="86">
        <v>80</v>
      </c>
      <c r="K16" s="28" t="s">
        <v>112</v>
      </c>
      <c r="L16" s="29" t="s">
        <v>120</v>
      </c>
      <c r="M16" s="86">
        <v>80</v>
      </c>
      <c r="N16" s="42">
        <v>20</v>
      </c>
      <c r="O16" s="45">
        <v>16</v>
      </c>
      <c r="P16" s="46">
        <f>+Tabla1[[#This Row],[Logro Vigencia]]/Tabla1[[#This Row],[Meta Programada Vigencia]]</f>
        <v>0.8</v>
      </c>
      <c r="Q16" s="55"/>
      <c r="R16" s="88">
        <f>+Tabla13[[#This Row],[Recursos propios]]</f>
        <v>1017322000</v>
      </c>
      <c r="S16" s="16"/>
      <c r="T16" s="16"/>
      <c r="U16" s="16">
        <f>+Tabla13[[#This Row],[SGP Deporte]]</f>
        <v>0</v>
      </c>
      <c r="V16" s="16"/>
      <c r="W16" s="16"/>
      <c r="X16" s="16"/>
      <c r="Y16" s="16"/>
      <c r="Z16" s="16"/>
      <c r="AA16" s="16"/>
      <c r="AB16" s="16"/>
      <c r="AC16" s="16"/>
      <c r="AD16" s="16">
        <f>+Tabla13[[#This Row],[Otros ]]</f>
        <v>211863078</v>
      </c>
      <c r="AE16" s="16">
        <f>+Tabla13[[#This Row],[Recursos del Balance]]</f>
        <v>576738587.13</v>
      </c>
      <c r="AF16" s="57">
        <f>SUM(Tabla1[[#This Row],[Recursos propios]:[Recursos del Balance]])</f>
        <v>1805923665.1300001</v>
      </c>
      <c r="AG16" s="78">
        <f>+Tabla13[[#This Row],[Recursos propios ]]</f>
        <v>681688333</v>
      </c>
      <c r="AH16" s="16"/>
      <c r="AI16" s="16"/>
      <c r="AJ16" s="16">
        <f>+Tabla13[[#This Row],[SGP Deporte2]]</f>
        <v>0</v>
      </c>
      <c r="AK16" s="16"/>
      <c r="AL16" s="16"/>
      <c r="AM16" s="16"/>
      <c r="AN16" s="16"/>
      <c r="AO16" s="16"/>
      <c r="AP16" s="16"/>
      <c r="AQ16" s="16"/>
      <c r="AR16" s="16"/>
      <c r="AS16" s="16">
        <f>+Tabla13[[#This Row],[Otros 2]]</f>
        <v>105863078</v>
      </c>
      <c r="AT16" s="16">
        <f>+Tabla13[[#This Row],[Recursos del Balance2]]</f>
        <v>449601148</v>
      </c>
      <c r="AU16" s="34">
        <f>SUM(Tabla1[[#This Row],[Recursos propios2]:[Recursos del Balance2]])</f>
        <v>1237152559</v>
      </c>
      <c r="AV16" s="16">
        <f>+Tabla13[[#This Row],[Total Recursos Obligados]]</f>
        <v>554106667</v>
      </c>
      <c r="AW16" s="22">
        <f>+Tabla13[[#This Row],[Total Recursos Pagados]]</f>
        <v>551306667</v>
      </c>
      <c r="AX16" s="20">
        <f>+Tabla1[[#This Row],[Total Recursos Comprometido]]/Tabla1[[#This Row],[Total 2024]]</f>
        <v>0.68505252070604161</v>
      </c>
      <c r="AY16" s="17">
        <f>+Tabla1[[#This Row],[Total Recursos Obligados]]/Tabla1[[#This Row],[Total 2024]]</f>
        <v>0.30682729159546862</v>
      </c>
      <c r="AZ16" s="21">
        <f>+Tabla1[[#This Row],[Total Recursos Pagados]]/Tabla1[[#This Row],[Total 2024]]</f>
        <v>0.30527683846499348</v>
      </c>
      <c r="BA16" s="83"/>
      <c r="BB16" s="60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6" s="41" t="s">
        <v>109</v>
      </c>
      <c r="BD16" s="42" t="s">
        <v>152</v>
      </c>
      <c r="BE16" s="43">
        <v>3</v>
      </c>
    </row>
    <row r="17" spans="1:57" s="10" customFormat="1" ht="60" x14ac:dyDescent="0.2">
      <c r="A17" s="37">
        <v>137</v>
      </c>
      <c r="B17" s="28" t="s">
        <v>71</v>
      </c>
      <c r="C17" s="28" t="s">
        <v>66</v>
      </c>
      <c r="D17" s="29" t="s">
        <v>67</v>
      </c>
      <c r="E17" s="28" t="s">
        <v>85</v>
      </c>
      <c r="F17" s="29" t="s">
        <v>86</v>
      </c>
      <c r="G17" s="28" t="s">
        <v>87</v>
      </c>
      <c r="H17" s="29">
        <v>410205000</v>
      </c>
      <c r="I17" s="28" t="s">
        <v>118</v>
      </c>
      <c r="J17" s="29">
        <v>6</v>
      </c>
      <c r="K17" s="29" t="s">
        <v>112</v>
      </c>
      <c r="L17" s="29" t="s">
        <v>120</v>
      </c>
      <c r="M17" s="29">
        <v>9</v>
      </c>
      <c r="N17" s="38">
        <v>2</v>
      </c>
      <c r="O17" s="39">
        <v>0</v>
      </c>
      <c r="P17" s="40">
        <f>+Tabla1[[#This Row],[Logro Vigencia]]/Tabla1[[#This Row],[Meta Programada Vigencia]]</f>
        <v>0</v>
      </c>
      <c r="Q17" s="53"/>
      <c r="R17" s="78">
        <v>80000000</v>
      </c>
      <c r="S17" s="15"/>
      <c r="T17" s="15"/>
      <c r="U17" s="16">
        <f>+Tabla13[[#This Row],[SGP Deporte]]</f>
        <v>0</v>
      </c>
      <c r="V17" s="15"/>
      <c r="W17" s="15"/>
      <c r="X17" s="15"/>
      <c r="Y17" s="15"/>
      <c r="Z17" s="15"/>
      <c r="AA17" s="15"/>
      <c r="AB17" s="15"/>
      <c r="AC17" s="15"/>
      <c r="AD17" s="16">
        <f>+Tabla13[[#This Row],[Otros ]]</f>
        <v>0</v>
      </c>
      <c r="AE17" s="15">
        <f>+Tabla13[[#This Row],[Recursos del Balance]]</f>
        <v>0</v>
      </c>
      <c r="AF17" s="57">
        <f>SUM(Tabla1[[#This Row],[Recursos propios]:[Recursos del Balance]])</f>
        <v>80000000</v>
      </c>
      <c r="AG17" s="78">
        <f>+Tabla13[[#This Row],[Recursos propios ]]</f>
        <v>0</v>
      </c>
      <c r="AH17" s="15"/>
      <c r="AI17" s="15"/>
      <c r="AJ17" s="16">
        <f>+Tabla13[[#This Row],[SGP Deporte2]]</f>
        <v>0</v>
      </c>
      <c r="AK17" s="15"/>
      <c r="AL17" s="15"/>
      <c r="AM17" s="15"/>
      <c r="AN17" s="15"/>
      <c r="AO17" s="15"/>
      <c r="AP17" s="15"/>
      <c r="AQ17" s="15"/>
      <c r="AR17" s="15"/>
      <c r="AS17" s="16">
        <f>+Tabla13[[#This Row],[Otros 2]]</f>
        <v>0</v>
      </c>
      <c r="AT17" s="15">
        <f>+Tabla13[[#This Row],[Recursos del Balance2]]</f>
        <v>0</v>
      </c>
      <c r="AU17" s="34">
        <f>SUM(Tabla1[[#This Row],[Recursos propios2]:[Recursos del Balance2]])</f>
        <v>0</v>
      </c>
      <c r="AV17" s="16">
        <f>+Tabla13[[#This Row],[Total Recursos Obligados]]</f>
        <v>0</v>
      </c>
      <c r="AW17" s="22">
        <f>+Tabla13[[#This Row],[Total Recursos Pagados]]</f>
        <v>0</v>
      </c>
      <c r="AX17" s="58">
        <f>+Tabla1[[#This Row],[Total Recursos Comprometido]]/Tabla1[[#This Row],[Total 2024]]</f>
        <v>0</v>
      </c>
      <c r="AY17" s="18">
        <f>+Tabla1[[#This Row],[Total Recursos Obligados]]/Tabla1[[#This Row],[Total 2024]]</f>
        <v>0</v>
      </c>
      <c r="AZ17" s="59">
        <f>+Tabla1[[#This Row],[Total Recursos Pagados]]/Tabla1[[#This Row],[Total 2024]]</f>
        <v>0</v>
      </c>
      <c r="BA17" s="84"/>
      <c r="BB17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7" s="41" t="s">
        <v>109</v>
      </c>
      <c r="BD17" s="42" t="s">
        <v>152</v>
      </c>
      <c r="BE17" s="43" t="s">
        <v>110</v>
      </c>
    </row>
    <row r="18" spans="1:57" s="10" customFormat="1" ht="60" x14ac:dyDescent="0.2">
      <c r="A18" s="37">
        <v>138</v>
      </c>
      <c r="B18" s="28" t="s">
        <v>71</v>
      </c>
      <c r="C18" s="28" t="s">
        <v>66</v>
      </c>
      <c r="D18" s="29" t="s">
        <v>67</v>
      </c>
      <c r="E18" s="28" t="s">
        <v>85</v>
      </c>
      <c r="F18" s="29" t="s">
        <v>88</v>
      </c>
      <c r="G18" s="28" t="s">
        <v>89</v>
      </c>
      <c r="H18" s="29">
        <v>410204200</v>
      </c>
      <c r="I18" s="28" t="s">
        <v>119</v>
      </c>
      <c r="J18" s="87">
        <v>0</v>
      </c>
      <c r="K18" s="29" t="s">
        <v>112</v>
      </c>
      <c r="L18" s="29" t="s">
        <v>120</v>
      </c>
      <c r="M18" s="87">
        <v>9</v>
      </c>
      <c r="N18" s="38">
        <v>2</v>
      </c>
      <c r="O18" s="39">
        <v>1.96</v>
      </c>
      <c r="P18" s="40">
        <f>+Tabla1[[#This Row],[Logro Vigencia]]/Tabla1[[#This Row],[Meta Programada Vigencia]]</f>
        <v>0.98</v>
      </c>
      <c r="Q18" s="53"/>
      <c r="R18" s="78">
        <f>+Tabla13[[#This Row],[Recursos propios]]</f>
        <v>458890354</v>
      </c>
      <c r="S18" s="15"/>
      <c r="T18" s="15"/>
      <c r="U18" s="16">
        <f>+Tabla13[[#This Row],[SGP Deporte]]</f>
        <v>0</v>
      </c>
      <c r="V18" s="15"/>
      <c r="W18" s="15"/>
      <c r="X18" s="15"/>
      <c r="Y18" s="15"/>
      <c r="Z18" s="15"/>
      <c r="AA18" s="15"/>
      <c r="AB18" s="15"/>
      <c r="AC18" s="15"/>
      <c r="AD18" s="16">
        <f>+Tabla13[[#This Row],[Otros ]]</f>
        <v>0</v>
      </c>
      <c r="AE18" s="15">
        <f>+Tabla13[[#This Row],[Recursos del Balance]]</f>
        <v>165684646</v>
      </c>
      <c r="AF18" s="57">
        <f>SUM(Tabla1[[#This Row],[Recursos propios]:[Recursos del Balance]])</f>
        <v>624575000</v>
      </c>
      <c r="AG18" s="78">
        <f>+Tabla13[[#This Row],[Recursos propios ]]</f>
        <v>200220000</v>
      </c>
      <c r="AH18" s="15"/>
      <c r="AI18" s="15"/>
      <c r="AJ18" s="16">
        <f>+Tabla13[[#This Row],[SGP Deporte2]]</f>
        <v>0</v>
      </c>
      <c r="AK18" s="15"/>
      <c r="AL18" s="15"/>
      <c r="AM18" s="15"/>
      <c r="AN18" s="15"/>
      <c r="AO18" s="15"/>
      <c r="AP18" s="15"/>
      <c r="AQ18" s="15"/>
      <c r="AR18" s="15"/>
      <c r="AS18" s="16">
        <f>+Tabla13[[#This Row],[Otros 2]]</f>
        <v>0</v>
      </c>
      <c r="AT18" s="15">
        <f>+Tabla13[[#This Row],[Recursos del Balance2]]</f>
        <v>110600000</v>
      </c>
      <c r="AU18" s="34">
        <f>SUM(Tabla1[[#This Row],[Recursos propios2]:[Recursos del Balance2]])</f>
        <v>310820000</v>
      </c>
      <c r="AV18" s="16">
        <f>+Tabla13[[#This Row],[Total Recursos Obligados]]</f>
        <v>231220000</v>
      </c>
      <c r="AW18" s="22">
        <f>+Tabla13[[#This Row],[Total Recursos Pagados]]</f>
        <v>231220000</v>
      </c>
      <c r="AX18" s="58">
        <f>+Tabla1[[#This Row],[Total Recursos Comprometido]]/Tabla1[[#This Row],[Total 2024]]</f>
        <v>0.49765040227354601</v>
      </c>
      <c r="AY18" s="18">
        <f>+Tabla1[[#This Row],[Total Recursos Obligados]]/Tabla1[[#This Row],[Total 2024]]</f>
        <v>0.37020373854220873</v>
      </c>
      <c r="AZ18" s="59">
        <f>+Tabla1[[#This Row],[Total Recursos Pagados]]/Tabla1[[#This Row],[Total 2024]]</f>
        <v>0.37020373854220873</v>
      </c>
      <c r="BA18" s="84"/>
      <c r="BB18" s="61" t="str">
        <f>IF(Tabla13[[#This Row],[Total Recursos Gestionados2]]=0,"_",IF(Tabla13[[#This Row],[Ejecución Recursos Comprometidos]]=0,100%,Tabla13[[#This Row],[Total Recursos Gestionados2]]/Tabla13[[#This Row],[Ejecución Recursos Comprometidos]]))</f>
        <v>_</v>
      </c>
      <c r="BC18" s="41" t="s">
        <v>109</v>
      </c>
      <c r="BD18" s="42" t="s">
        <v>152</v>
      </c>
      <c r="BE18" s="43" t="s">
        <v>110</v>
      </c>
    </row>
    <row r="19" spans="1:57" x14ac:dyDescent="0.2">
      <c r="A19" s="92"/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2"/>
      <c r="P19" s="95">
        <f>+AVERAGE(Tabla1[Porcentaje Avance Vigencia])</f>
        <v>0.76805192307692316</v>
      </c>
      <c r="Q19" s="94"/>
      <c r="R19" s="96">
        <f>SUBTOTAL(109,Tabla1[Recursos propios])</f>
        <v>5322903575</v>
      </c>
      <c r="S19" s="97"/>
      <c r="T19" s="98"/>
      <c r="U19" s="97">
        <f>SUBTOTAL(109,Tabla1[SGP Deporte])</f>
        <v>3063796684</v>
      </c>
      <c r="V19" s="98"/>
      <c r="W19" s="98"/>
      <c r="X19" s="98"/>
      <c r="Y19" s="98"/>
      <c r="Z19" s="98"/>
      <c r="AA19" s="98"/>
      <c r="AB19" s="98"/>
      <c r="AC19" s="98"/>
      <c r="AD19" s="97">
        <f>SUBTOTAL(109,Tabla1[Otros])</f>
        <v>813318192</v>
      </c>
      <c r="AE19" s="110">
        <f>SUBTOTAL(109,Tabla1[Recursos del Balance])</f>
        <v>5644990868.3100004</v>
      </c>
      <c r="AF19" s="97">
        <f>SUBTOTAL(109,Tabla1[Total 2024])</f>
        <v>14845009319.310001</v>
      </c>
      <c r="AG19" s="111">
        <f>SUBTOTAL(109,Tabla1[Recursos propios2])</f>
        <v>3332214383.5599999</v>
      </c>
      <c r="AH19" s="98"/>
      <c r="AI19" s="98"/>
      <c r="AJ19" s="97">
        <f>SUBTOTAL(109,Tabla1[[SGP Deporte ]])</f>
        <v>2995377932</v>
      </c>
      <c r="AK19" s="98"/>
      <c r="AL19" s="98"/>
      <c r="AM19" s="98"/>
      <c r="AN19" s="98"/>
      <c r="AO19" s="98"/>
      <c r="AP19" s="98"/>
      <c r="AQ19" s="98"/>
      <c r="AR19" s="98"/>
      <c r="AS19" s="97">
        <f>SUBTOTAL(109,Tabla1[[Otros ]])</f>
        <v>316403021</v>
      </c>
      <c r="AT19" s="97">
        <f>SUBTOTAL(109,Tabla1[Recursos del Balance2])</f>
        <v>4344181936.9500008</v>
      </c>
      <c r="AU19" s="99">
        <f>SUBTOTAL(109,Tabla1[Total Recursos Comprometido])</f>
        <v>10988177273.51</v>
      </c>
      <c r="AV19" s="97">
        <f>SUBTOTAL(109,Tabla1[Total Recursos Obligados])</f>
        <v>6898066602.7299995</v>
      </c>
      <c r="AW19" s="97">
        <f>SUBTOTAL(109,Tabla1[Total Recursos Pagados])</f>
        <v>6813066602.7299995</v>
      </c>
      <c r="AX19" s="112"/>
      <c r="AY19" s="100"/>
      <c r="AZ19" s="100"/>
      <c r="BA19" s="100"/>
      <c r="BB19" s="100"/>
      <c r="BC19" s="101"/>
      <c r="BD19" s="93"/>
      <c r="BE19" s="102"/>
    </row>
    <row r="20" spans="1:57" x14ac:dyDescent="0.2">
      <c r="R20" s="113">
        <v>5322903574.999999</v>
      </c>
      <c r="AE20" s="106">
        <v>5644990868.3100004</v>
      </c>
      <c r="AF20" s="106">
        <v>14845009319.310001</v>
      </c>
      <c r="AG20" s="106">
        <v>3332214383.5599999</v>
      </c>
      <c r="AJ20" s="106">
        <v>2995377932</v>
      </c>
      <c r="AS20" s="106">
        <v>316403021</v>
      </c>
      <c r="AT20" s="106">
        <v>4344181936.9500008</v>
      </c>
      <c r="AU20" s="106">
        <v>10988177273.509998</v>
      </c>
      <c r="AV20" s="106">
        <v>6898066602.7299995</v>
      </c>
      <c r="AW20" s="106">
        <v>6813066602.7299995</v>
      </c>
    </row>
    <row r="21" spans="1:57" x14ac:dyDescent="0.2">
      <c r="R21" s="107">
        <f>+Tabla1[[#Totals],[Recursos propios]]-R20</f>
        <v>0</v>
      </c>
      <c r="AE21" s="107">
        <f>+Tabla1[[#Totals],[Recursos del Balance]]-AE20</f>
        <v>0</v>
      </c>
      <c r="AF21" s="107">
        <f>+Tabla1[[#Totals],[Total 2024]]-AF20</f>
        <v>0</v>
      </c>
      <c r="AG21" s="107">
        <f>+Tabla1[[#Totals],[Recursos propios2]]-AG20</f>
        <v>0</v>
      </c>
      <c r="AJ21" s="107">
        <f>+Tabla1[[#Totals],[SGP Deporte ]]-AJ20</f>
        <v>0</v>
      </c>
      <c r="AS21" s="107">
        <f>+Tabla1[[#Totals],[Otros ]]-AS20</f>
        <v>0</v>
      </c>
      <c r="AT21" s="107">
        <f>+Tabla1[[#Totals],[Recursos del Balance2]]-AT20</f>
        <v>0</v>
      </c>
      <c r="AU21" s="107">
        <f>+Tabla1[[#Totals],[Total Recursos Comprometido]]-AU20</f>
        <v>0</v>
      </c>
      <c r="AV21" s="107">
        <f>+Tabla1[[#Totals],[Total Recursos Obligados]]-AV20</f>
        <v>0</v>
      </c>
      <c r="AW21" s="107">
        <f>+Tabla1[[#Totals],[Total Recursos Pagados]]-AW20</f>
        <v>0</v>
      </c>
    </row>
  </sheetData>
  <sheetProtection formatCells="0" formatColumns="0" formatRows="0" insertRows="0" autoFilter="0"/>
  <mergeCells count="13">
    <mergeCell ref="BC9:BD9"/>
    <mergeCell ref="A9:N9"/>
    <mergeCell ref="O9:Q9"/>
    <mergeCell ref="R9:AF9"/>
    <mergeCell ref="A1:B4"/>
    <mergeCell ref="AG9:AW9"/>
    <mergeCell ref="AX9:AZ9"/>
    <mergeCell ref="BA9:BB9"/>
    <mergeCell ref="C1:BB4"/>
    <mergeCell ref="BC1:BE1"/>
    <mergeCell ref="BC2:BE2"/>
    <mergeCell ref="BC3:BE3"/>
    <mergeCell ref="BC4:BE4"/>
  </mergeCells>
  <phoneticPr fontId="9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 de Acción-proyectos</vt:lpstr>
      <vt:lpstr>Plan de Acción-metas</vt:lpstr>
      <vt:lpstr>'Plan de Acción-proyectos'!PA</vt:lpstr>
      <vt:lpstr>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MORON</dc:creator>
  <cp:lastModifiedBy>Microsoft Office User</cp:lastModifiedBy>
  <dcterms:created xsi:type="dcterms:W3CDTF">2024-06-03T22:05:35Z</dcterms:created>
  <dcterms:modified xsi:type="dcterms:W3CDTF">2025-11-26T21:42:07Z</dcterms:modified>
</cp:coreProperties>
</file>