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esktop/"/>
    </mc:Choice>
  </mc:AlternateContent>
  <xr:revisionPtr revIDLastSave="0" documentId="13_ncr:1_{B51A2F62-4ECD-CC41-BC6F-028BEFBBBB6F}" xr6:coauthVersionLast="47" xr6:coauthVersionMax="47" xr10:uidLastSave="{00000000-0000-0000-0000-000000000000}"/>
  <bookViews>
    <workbookView xWindow="0" yWindow="460" windowWidth="27320" windowHeight="1394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16" i="1"/>
  <c r="R15" i="1"/>
  <c r="R14" i="1"/>
  <c r="R13" i="1"/>
  <c r="R12" i="1"/>
  <c r="AE13" i="2" l="1"/>
  <c r="R18" i="1"/>
  <c r="AG18" i="1"/>
  <c r="AE18" i="1"/>
  <c r="AT18" i="1"/>
  <c r="AV18" i="1"/>
  <c r="AW18" i="1"/>
  <c r="AT19" i="2"/>
  <c r="AT21" i="2" s="1"/>
  <c r="AS19" i="2"/>
  <c r="AS21" i="2" s="1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4" i="1"/>
  <c r="AE15" i="1"/>
  <c r="AE16" i="1"/>
  <c r="AE17" i="1"/>
  <c r="AE19" i="1"/>
  <c r="AE21" i="1" s="1"/>
  <c r="AI19" i="2"/>
  <c r="AI21" i="2" s="1"/>
  <c r="AE11" i="2"/>
  <c r="AE12" i="2"/>
  <c r="AE14" i="2"/>
  <c r="AE15" i="2"/>
  <c r="AE16" i="2"/>
  <c r="AE17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20" i="2" l="1"/>
  <c r="AE19" i="2"/>
  <c r="AW12" i="1"/>
  <c r="AW13" i="1"/>
  <c r="AW14" i="1"/>
  <c r="AW15" i="1"/>
  <c r="AW16" i="1"/>
  <c r="AW17" i="1"/>
  <c r="AW11" i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AE21" i="2" l="1"/>
  <c r="AW19" i="1"/>
  <c r="AW21" i="1" s="1"/>
  <c r="U19" i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2" i="1"/>
  <c r="P14" i="1"/>
  <c r="P15" i="1"/>
  <c r="P16" i="1"/>
  <c r="P17" i="1"/>
  <c r="P18" i="1"/>
  <c r="P19" i="1" l="1"/>
  <c r="AU19" i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<sst xmlns="http://schemas.openxmlformats.org/spreadsheetml/2006/main" count="328" uniqueCount="153">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</sst>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166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21" xfId="0" applyNumberFormat="1" applyFont="1" applyBorder="1" applyAlignment="1" applyProtection="1">
      <alignment horizontal="center" vertical="center" wrapText="1"/>
      <protection locked="0"/>
    </xf>
    <xf numFmtId="166" fontId="18" fillId="0" borderId="20" xfId="0" applyNumberFormat="1" applyFont="1" applyBorder="1" applyAlignment="1" applyProtection="1">
      <alignment horizontal="center" vertical="center"/>
      <protection locked="0"/>
    </xf>
    <xf numFmtId="165" fontId="13" fillId="0" borderId="20" xfId="0" applyNumberFormat="1" applyFont="1" applyBorder="1" applyAlignment="1" applyProtection="1">
      <alignment horizontal="center" vertical="center"/>
      <protection locked="0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0" xfId="2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+Tabla1[[#This Row],[Logro Vigencia]]/Tabla1[[#This Row],[Meta Programada Vigencia]]</calculatedColumnFormula>
      <totalsRowFormula>+AVERAGE(Tabla1[Porcentaje Avance Vigencia])</totalsRow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3"/>
  <sheetViews>
    <sheetView showGridLines="0" topLeftCell="G6" zoomScale="80" zoomScaleNormal="80" workbookViewId="0">
      <selection activeCell="AT20" sqref="AT20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6640625" style="4" bestFit="1" customWidth="1"/>
    <col min="20" max="28" width="18.1640625" style="4" customWidth="1"/>
    <col min="29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0" t="s">
        <v>123</v>
      </c>
      <c r="BD2" s="151"/>
      <c r="BE2" s="152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124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125</v>
      </c>
      <c r="BD4" s="154"/>
      <c r="BE4" s="155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1" t="s">
        <v>25</v>
      </c>
      <c r="I9" s="132"/>
      <c r="J9" s="132"/>
      <c r="K9" s="132"/>
      <c r="L9" s="132"/>
      <c r="M9" s="132"/>
      <c r="N9" s="132"/>
      <c r="O9" s="133"/>
      <c r="P9" s="134" t="s">
        <v>24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6"/>
      <c r="AE9" s="137"/>
      <c r="AF9" s="131" t="s">
        <v>23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1" t="s">
        <v>44</v>
      </c>
      <c r="AY9" s="132"/>
      <c r="AZ9" s="133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138</v>
      </c>
      <c r="S10" s="47" t="s">
        <v>50</v>
      </c>
      <c r="T10" s="47" t="s">
        <v>129</v>
      </c>
      <c r="U10" s="47" t="s">
        <v>52</v>
      </c>
      <c r="V10" s="47" t="s">
        <v>127</v>
      </c>
      <c r="W10" s="47" t="s">
        <v>139</v>
      </c>
      <c r="X10" s="47" t="s">
        <v>140</v>
      </c>
      <c r="Y10" s="47" t="s">
        <v>141</v>
      </c>
      <c r="Z10" s="47" t="s">
        <v>142</v>
      </c>
      <c r="AA10" s="47" t="s">
        <v>57</v>
      </c>
      <c r="AB10" s="47" t="s">
        <v>135</v>
      </c>
      <c r="AC10" s="47" t="s">
        <v>136</v>
      </c>
      <c r="AD10" s="47" t="s">
        <v>63</v>
      </c>
      <c r="AE10" s="47" t="s">
        <v>143</v>
      </c>
      <c r="AF10" s="47" t="s">
        <v>144</v>
      </c>
      <c r="AG10" s="47" t="s">
        <v>145</v>
      </c>
      <c r="AH10" s="47" t="s">
        <v>146</v>
      </c>
      <c r="AI10" s="47" t="s">
        <v>147</v>
      </c>
      <c r="AJ10" s="47" t="s">
        <v>148</v>
      </c>
      <c r="AK10" s="47" t="s">
        <v>149</v>
      </c>
      <c r="AL10" s="47" t="s">
        <v>53</v>
      </c>
      <c r="AM10" s="47" t="s">
        <v>54</v>
      </c>
      <c r="AN10" s="47" t="s">
        <v>150</v>
      </c>
      <c r="AO10" s="47" t="s">
        <v>55</v>
      </c>
      <c r="AP10" s="47" t="s">
        <v>56</v>
      </c>
      <c r="AQ10" s="47" t="s">
        <v>134</v>
      </c>
      <c r="AR10" s="47" t="s">
        <v>151</v>
      </c>
      <c r="AS10" s="47" t="s">
        <v>152</v>
      </c>
      <c r="AT10" s="47" t="s">
        <v>64</v>
      </c>
      <c r="AU10" s="47" t="s">
        <v>137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3635448808</v>
      </c>
      <c r="K11" s="66">
        <v>1090575000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117">
        <f>SUM(Tabla13[[#This Row],[Recursos propios]:[Recursos del Balance]])</f>
        <v>386000000</v>
      </c>
      <c r="AF11" s="118">
        <v>215733332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149750000</v>
      </c>
      <c r="AU11" s="116">
        <f>SUM(Tabla13[[#This Row],[Recursos propios ]:[Recursos del Balance2]])</f>
        <v>365483332</v>
      </c>
      <c r="AV11" s="79">
        <v>210833332</v>
      </c>
      <c r="AW11" s="79">
        <v>200333332</v>
      </c>
      <c r="AX11" s="20">
        <f>+Tabla13[[#This Row],[Total Recursos Comprometido]]/Tabla13[[#This Row],[Total]]</f>
        <v>0.94684801036269428</v>
      </c>
      <c r="AY11" s="17">
        <f>+Tabla13[[#This Row],[Total Recursos Obligados]]/Tabla13[[#This Row],[Total]]</f>
        <v>0.54620034196891187</v>
      </c>
      <c r="AZ11" s="21">
        <f>+Tabla13[[#This Row],[Total Recursos Pagados]]/Tabla13[[#This Row],[Total]]</f>
        <v>0.51899826943005178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31294286462.23</v>
      </c>
      <c r="K12" s="67">
        <v>6458748141</v>
      </c>
      <c r="L12" s="65" t="s">
        <v>94</v>
      </c>
      <c r="M12" s="65" t="s">
        <v>95</v>
      </c>
      <c r="N12" s="77"/>
      <c r="O12" s="69" t="s">
        <v>96</v>
      </c>
      <c r="P12" s="70">
        <v>301331575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25">
        <v>957047338</v>
      </c>
      <c r="AE12" s="26">
        <f>SUM(Tabla13[[#This Row],[Recursos propios]:[Recursos del Balance]])</f>
        <v>2056950913</v>
      </c>
      <c r="AF12" s="78">
        <v>28428000</v>
      </c>
      <c r="AG12" s="15"/>
      <c r="AH12" s="15"/>
      <c r="AI12" s="15">
        <v>727269999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5">
        <v>515797000.61000001</v>
      </c>
      <c r="AU12" s="115">
        <f>SUM(Tabla13[[#This Row],[Recursos propios ]:[Recursos del Balance2]])</f>
        <v>1301494999.6100001</v>
      </c>
      <c r="AV12" s="80">
        <v>759339999</v>
      </c>
      <c r="AW12" s="82">
        <v>700159999</v>
      </c>
      <c r="AX12" s="58">
        <f>+Tabla13[[#This Row],[Total Recursos Comprometido]]/Tabla13[[#This Row],[Total]]</f>
        <v>0.63273021800593654</v>
      </c>
      <c r="AY12" s="18">
        <f>+Tabla13[[#This Row],[Total Recursos Obligados]]/Tabla13[[#This Row],[Total]]</f>
        <v>0.36915805535316631</v>
      </c>
      <c r="AZ12" s="59">
        <f>+Tabla13[[#This Row],[Total Recursos Pagados]]/Tabla13[[#This Row],[Total]]</f>
        <v>0.34038731530974553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31294286462.23</v>
      </c>
      <c r="K13" s="67">
        <v>6458748141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1250293658.1800001</v>
      </c>
      <c r="AE13" s="26">
        <f>SUM(Tabla13[[#This Row],[Recursos propios]:[Recursos del Balance]])</f>
        <v>4401797228.1800003</v>
      </c>
      <c r="AF13" s="119">
        <v>625790571.14999998</v>
      </c>
      <c r="AG13" s="15"/>
      <c r="AH13" s="15"/>
      <c r="AI13" s="15">
        <v>2118993333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70000000</v>
      </c>
      <c r="AT13" s="25">
        <v>1095635481.8499999</v>
      </c>
      <c r="AU13" s="15">
        <f>SUM(Tabla13[[#This Row],[Recursos propios ]:[Recursos del Balance2]])</f>
        <v>3910419386</v>
      </c>
      <c r="AV13" s="80">
        <v>2142078272</v>
      </c>
      <c r="AW13" s="82">
        <v>2047723272</v>
      </c>
      <c r="AX13" s="19">
        <f>+Tabla13[[#This Row],[Total Recursos Comprometido]]/Tabla13[[#This Row],[Total]]</f>
        <v>0.88836881466637463</v>
      </c>
      <c r="AY13" s="32">
        <f>+Tabla13[[#This Row],[Total Recursos Obligados]]/Tabla13[[#This Row],[Total]]</f>
        <v>0.48663719861663857</v>
      </c>
      <c r="AZ13" s="33">
        <f>+Tabla13[[#This Row],[Total Recursos Pagados]]/Tabla13[[#This Row],[Total]]</f>
        <v>0.46520163602508036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110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3028841568</v>
      </c>
      <c r="K14" s="109">
        <v>1108578510.4400001</v>
      </c>
      <c r="L14" s="65" t="s">
        <v>94</v>
      </c>
      <c r="M14" s="65" t="s">
        <v>97</v>
      </c>
      <c r="N14" s="77"/>
      <c r="O14" s="69" t="s">
        <v>100</v>
      </c>
      <c r="P14" s="70">
        <v>815000000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1108578510.4400001</v>
      </c>
      <c r="AF14" s="119">
        <v>279397383.56</v>
      </c>
      <c r="AG14" s="15"/>
      <c r="AH14" s="15"/>
      <c r="AI14" s="15">
        <v>146617935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20">
        <v>136216552.44</v>
      </c>
      <c r="AU14" s="115">
        <f>SUM(Tabla13[[#This Row],[Recursos propios ]:[Recursos del Balance2]])</f>
        <v>562231871</v>
      </c>
      <c r="AV14" s="79">
        <v>228000000</v>
      </c>
      <c r="AW14" s="81">
        <v>228000000</v>
      </c>
      <c r="AX14" s="20">
        <f>+Tabla13[[#This Row],[Total Recursos Comprometido]]/Tabla13[[#This Row],[Total]]</f>
        <v>0.50716468495934264</v>
      </c>
      <c r="AY14" s="17">
        <f>+Tabla13[[#This Row],[Total Recursos Obligados]]/Tabla13[[#This Row],[Total]]</f>
        <v>0.20566878922224979</v>
      </c>
      <c r="AZ14" s="21">
        <f>+Tabla13[[#This Row],[Total Recursos Pagados]]/Tabla13[[#This Row],[Total]]</f>
        <v>0.20566878922224979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5827107667.6899996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1348930450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2383266063.5599999</v>
      </c>
      <c r="AE15" s="26">
        <f>SUM(Tabla13[[#This Row],[Recursos propios]:[Recursos del Balance]])</f>
        <v>4021184002.5599999</v>
      </c>
      <c r="AF15" s="78">
        <v>1210603390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20">
        <v>1659733707.9000001</v>
      </c>
      <c r="AU15" s="115">
        <f>SUM(Tabla13[[#This Row],[Recursos propios ]:[Recursos del Balance2]])</f>
        <v>2870337097.9000001</v>
      </c>
      <c r="AV15" s="80">
        <v>1505504783</v>
      </c>
      <c r="AW15" s="82">
        <v>1485704783</v>
      </c>
      <c r="AX15" s="19">
        <f>+Tabla13[[#This Row],[Total Recursos Comprometido]]/Tabla13[[#This Row],[Total]]</f>
        <v>0.71380396820256475</v>
      </c>
      <c r="AY15" s="32">
        <f>+Tabla13[[#This Row],[Total Recursos Obligados]]/Tabla13[[#This Row],[Total]]</f>
        <v>0.37439340802150634</v>
      </c>
      <c r="AZ15" s="33">
        <f>+Tabla13[[#This Row],[Total Recursos Pagados]]/Tabla13[[#This Row],[Total]]</f>
        <v>0.36946948512034222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110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5827107667.6899996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1017322000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576738587.13</v>
      </c>
      <c r="AE16" s="26">
        <f>SUM(Tabla13[[#This Row],[Recursos propios]:[Recursos del Balance]])</f>
        <v>1805923665.1300001</v>
      </c>
      <c r="AF16" s="78">
        <v>673422000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5">
        <v>412756667</v>
      </c>
      <c r="AU16" s="115">
        <f>SUM(Tabla13[[#This Row],[Recursos propios ]:[Recursos del Balance2]])</f>
        <v>1192041745</v>
      </c>
      <c r="AV16" s="80">
        <v>471606667</v>
      </c>
      <c r="AW16" s="80">
        <v>466106667</v>
      </c>
      <c r="AX16" s="19">
        <f>+Tabla13[[#This Row],[Total Recursos Comprometido]]/Tabla13[[#This Row],[Total]]</f>
        <v>0.66007316256869053</v>
      </c>
      <c r="AY16" s="32">
        <f>+Tabla13[[#This Row],[Total Recursos Obligados]]/Tabla13[[#This Row],[Total]]</f>
        <v>0.26114429757253954</v>
      </c>
      <c r="AZ16" s="33">
        <f>+Tabla13[[#This Row],[Total Recursos Pagados]]/Tabla13[[#This Row],[Total]]</f>
        <v>0.25809876463767761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110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3635448808</v>
      </c>
      <c r="K17" s="66">
        <v>1090575000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0"/>
      <c r="AW17" s="82"/>
      <c r="AX17" s="58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24" t="s">
        <v>111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3635448808</v>
      </c>
      <c r="K18" s="66">
        <v>1090575000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458890354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624575000</v>
      </c>
      <c r="AF18" s="78">
        <v>200220000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15">
        <v>104200000</v>
      </c>
      <c r="AU18" s="115">
        <f>SUM(Tabla13[[#This Row],[Recursos propios ]:[Recursos del Balance2]])</f>
        <v>304420000</v>
      </c>
      <c r="AV18" s="80">
        <v>197520000</v>
      </c>
      <c r="AW18" s="82">
        <v>197520000</v>
      </c>
      <c r="AX18" s="19">
        <f>+Tabla13[[#This Row],[Total Recursos Comprometido]]/Tabla13[[#This Row],[Total]]</f>
        <v>0.48740343433534805</v>
      </c>
      <c r="AY18" s="32">
        <f>+Tabla13[[#This Row],[Total Recursos Obligados]]/Tabla13[[#This Row],[Total]]</f>
        <v>0.31624704799263498</v>
      </c>
      <c r="AZ18" s="33">
        <f>+Tabla13[[#This Row],[Total Recursos Pagados]]/Tabla13[[#This Row],[Total]]</f>
        <v>0.31624704799263498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110</v>
      </c>
      <c r="BE18" s="24" t="s">
        <v>111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4962903575</v>
      </c>
      <c r="Q19" s="90"/>
      <c r="R19" s="90"/>
      <c r="S19" s="91">
        <f>SUBTOTAL(109,Tabla13[SGP Deporte])</f>
        <v>3063796684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5644990868.3100004</v>
      </c>
      <c r="AE19" s="91">
        <f>SUBTOTAL(109,Tabla13[Total])</f>
        <v>14485009319.310001</v>
      </c>
      <c r="AF19" s="91">
        <f>SUBTOTAL(109,Tabla13[[Recursos propios ]])</f>
        <v>3233594676.71</v>
      </c>
      <c r="AG19" s="90"/>
      <c r="AH19" s="90"/>
      <c r="AI19" s="91">
        <f>SUBTOTAL(109,Tabla13[SGP Deporte2])</f>
        <v>2992881267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205863078</v>
      </c>
      <c r="AT19" s="91">
        <f>SUBTOTAL(109,Tabla13[Recursos del Balance2])</f>
        <v>4074089409.8000002</v>
      </c>
      <c r="AU19" s="91">
        <f>SUBTOTAL(109,Tabla13[Total Recursos Comprometido])</f>
        <v>10506428431.51</v>
      </c>
      <c r="AV19" s="91">
        <f>SUBTOTAL(109,Tabla13[Total Recursos Obligados])</f>
        <v>5514883053</v>
      </c>
      <c r="AW19" s="91">
        <f>SUBTOTAL(109,Tabla13[Total Recursos Pagados])</f>
        <v>5325548053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v>4962903575</v>
      </c>
      <c r="S20" s="114">
        <v>3063796684</v>
      </c>
      <c r="AC20" s="106">
        <v>813318192</v>
      </c>
      <c r="AD20" s="121">
        <v>5644990868.3100004</v>
      </c>
      <c r="AE20" s="113">
        <f>SUBTOTAL(109,Tabla13[Total])</f>
        <v>14485009319.310001</v>
      </c>
      <c r="AF20" s="106">
        <v>3233594676.71</v>
      </c>
      <c r="AI20" s="106">
        <v>2992881267</v>
      </c>
      <c r="AS20" s="106">
        <v>205863078</v>
      </c>
      <c r="AT20" s="106">
        <v>4074089409.8000002</v>
      </c>
      <c r="AU20" s="106">
        <v>10506428431.51</v>
      </c>
      <c r="AV20" s="121">
        <v>5514883053</v>
      </c>
      <c r="AW20" s="121">
        <v>5325548053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  <row r="22" spans="1:57" x14ac:dyDescent="0.2">
      <c r="AD22" s="107"/>
    </row>
    <row r="23" spans="1:57" x14ac:dyDescent="0.2">
      <c r="P23" s="107"/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B11" activePane="bottomRight" state="frozen"/>
      <selection activeCell="A10" sqref="A10"/>
      <selection pane="topRight" activeCell="B10" sqref="B10"/>
      <selection pane="bottomLeft" activeCell="A11" sqref="A11"/>
      <selection pane="bottomRight" activeCell="A11" sqref="A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9" t="s">
        <v>123</v>
      </c>
      <c r="BD2" s="160"/>
      <c r="BE2" s="161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124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126</v>
      </c>
      <c r="BD4" s="154"/>
      <c r="BE4" s="155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 t="s">
        <v>26</v>
      </c>
      <c r="P9" s="132"/>
      <c r="Q9" s="133"/>
      <c r="R9" s="134" t="s">
        <v>24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6"/>
      <c r="AF9" s="137"/>
      <c r="AG9" s="131" t="s">
        <v>23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3"/>
      <c r="AX9" s="156" t="s">
        <v>44</v>
      </c>
      <c r="AY9" s="157"/>
      <c r="AZ9" s="158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130</v>
      </c>
      <c r="AK10" s="47" t="s">
        <v>129</v>
      </c>
      <c r="AL10" s="47" t="s">
        <v>128</v>
      </c>
      <c r="AM10" s="47" t="s">
        <v>127</v>
      </c>
      <c r="AN10" s="47" t="s">
        <v>131</v>
      </c>
      <c r="AO10" s="47" t="s">
        <v>132</v>
      </c>
      <c r="AP10" s="47" t="s">
        <v>133</v>
      </c>
      <c r="AQ10" s="47" t="s">
        <v>134</v>
      </c>
      <c r="AR10" s="47" t="s">
        <v>135</v>
      </c>
      <c r="AS10" s="47" t="s">
        <v>136</v>
      </c>
      <c r="AT10" s="47" t="s">
        <v>64</v>
      </c>
      <c r="AU10" s="47" t="s">
        <v>137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112</v>
      </c>
      <c r="J11" s="86">
        <v>0</v>
      </c>
      <c r="K11" s="28" t="s">
        <v>113</v>
      </c>
      <c r="L11" s="28" t="s">
        <v>121</v>
      </c>
      <c r="M11" s="86">
        <v>5000</v>
      </c>
      <c r="N11" s="42">
        <v>1300</v>
      </c>
      <c r="O11" s="45">
        <v>817</v>
      </c>
      <c r="P11" s="50">
        <f>+Tabla1[[#This Row],[Logro Vigencia]]/Tabla1[[#This Row],[Meta Programada Vigencia]]</f>
        <v>0.62846153846153852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215733332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149750000</v>
      </c>
      <c r="AU11" s="34">
        <f>SUM(Tabla1[[#This Row],[Recursos propios2]:[Recursos del Balance2]])</f>
        <v>365483332</v>
      </c>
      <c r="AV11" s="16">
        <f>+Tabla13[[#This Row],[Total Recursos Obligados]]</f>
        <v>210833332</v>
      </c>
      <c r="AW11" s="22">
        <f>+Tabla13[[#This Row],[Total Recursos Pagados]]</f>
        <v>200333332</v>
      </c>
      <c r="AX11" s="20">
        <f>+Tabla1[[#This Row],[Total Recursos Comprometido]]/Tabla1[[#This Row],[Total 2024]]</f>
        <v>0.94684801036269428</v>
      </c>
      <c r="AY11" s="17">
        <f>+Tabla1[[#This Row],[Total Recursos Obligados]]/Tabla1[[#This Row],[Total 2024]]</f>
        <v>0.54620034196891187</v>
      </c>
      <c r="AZ11" s="21">
        <f>+Tabla1[[#This Row],[Total Recursos Pagados]]/Tabla1[[#This Row],[Total 2024]]</f>
        <v>0.51899826943005178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114</v>
      </c>
      <c r="J12" s="87">
        <v>4000</v>
      </c>
      <c r="K12" s="29" t="s">
        <v>113</v>
      </c>
      <c r="L12" s="29" t="s">
        <v>121</v>
      </c>
      <c r="M12" s="87">
        <v>15000</v>
      </c>
      <c r="N12" s="38">
        <v>3500</v>
      </c>
      <c r="O12" s="39">
        <v>3154</v>
      </c>
      <c r="P12" s="40">
        <f>+Tabla1[[#This Row],[Logro Vigencia]]/Tabla1[[#This Row],[Meta Programada Vigencia]]</f>
        <v>0.90114285714285713</v>
      </c>
      <c r="Q12" s="53"/>
      <c r="R12" s="78">
        <f>+Tabla13[[#This Row],[Recursos propios]]</f>
        <v>301331575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957047338</v>
      </c>
      <c r="AF12" s="57">
        <f>SUM(Tabla1[[#This Row],[Recursos propios]:[Recursos del Balance]])</f>
        <v>2056950913</v>
      </c>
      <c r="AG12" s="78">
        <f>+Tabla13[[#This Row],[Recursos propios ]]</f>
        <v>28428000</v>
      </c>
      <c r="AH12" s="15"/>
      <c r="AI12" s="15"/>
      <c r="AJ12" s="16">
        <f>+Tabla13[[#This Row],[SGP Deporte2]]</f>
        <v>727269999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515797000.61000001</v>
      </c>
      <c r="AU12" s="34">
        <f>SUM(Tabla1[[#This Row],[Recursos propios2]:[Recursos del Balance2]])</f>
        <v>1301494999.6100001</v>
      </c>
      <c r="AV12" s="16">
        <f>+Tabla13[[#This Row],[Total Recursos Obligados]]</f>
        <v>759339999</v>
      </c>
      <c r="AW12" s="22">
        <f>+Tabla13[[#This Row],[Total Recursos Pagados]]</f>
        <v>700159999</v>
      </c>
      <c r="AX12" s="58">
        <f>+Tabla1[[#This Row],[Total Recursos Comprometido]]/Tabla1[[#This Row],[Total 2024]]</f>
        <v>0.63273021800593654</v>
      </c>
      <c r="AY12" s="18">
        <f>+Tabla1[[#This Row],[Total Recursos Obligados]]/Tabla1[[#This Row],[Total 2024]]</f>
        <v>0.36915805535316631</v>
      </c>
      <c r="AZ12" s="59">
        <f>+Tabla1[[#This Row],[Total Recursos Pagados]]/Tabla1[[#This Row],[Total 2024]]</f>
        <v>0.34038731530974553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115</v>
      </c>
      <c r="J13" s="29">
        <v>45300</v>
      </c>
      <c r="K13" s="29" t="s">
        <v>113</v>
      </c>
      <c r="L13" s="29" t="s">
        <v>121</v>
      </c>
      <c r="M13" s="28">
        <v>195000</v>
      </c>
      <c r="N13" s="42">
        <v>51500</v>
      </c>
      <c r="O13" s="45">
        <v>55812</v>
      </c>
      <c r="P13" s="40">
        <v>1</v>
      </c>
      <c r="Q13" s="53"/>
      <c r="R13" s="78">
        <f>+Tabla13[[#This Row],[Recursos propios]]</f>
        <v>720429196</v>
      </c>
      <c r="S13" s="15"/>
      <c r="T13" s="15"/>
      <c r="U13" s="16">
        <f>+Tabla13[[#This Row],[SGP Deporte]]</f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1250293658.1800001</v>
      </c>
      <c r="AF13" s="57">
        <f>SUM(Tabla1[[#This Row],[Recursos propios]:[Recursos del Balance]])</f>
        <v>4401797228.1800003</v>
      </c>
      <c r="AG13" s="78">
        <f>+Tabla13[[#This Row],[Recursos propios ]]</f>
        <v>625790571.14999998</v>
      </c>
      <c r="AH13" s="15"/>
      <c r="AI13" s="15"/>
      <c r="AJ13" s="16">
        <f>+Tabla13[[#This Row],[SGP Deporte2]]</f>
        <v>2118993333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70000000</v>
      </c>
      <c r="AT13" s="15">
        <f>+Tabla13[[#This Row],[Recursos del Balance2]]</f>
        <v>1095635481.8499999</v>
      </c>
      <c r="AU13" s="34">
        <f>SUM(Tabla1[[#This Row],[Recursos propios2]:[Recursos del Balance2]])</f>
        <v>3910419386</v>
      </c>
      <c r="AV13" s="16">
        <f>+Tabla13[[#This Row],[Total Recursos Obligados]]</f>
        <v>2142078272</v>
      </c>
      <c r="AW13" s="22">
        <f>+Tabla13[[#This Row],[Total Recursos Pagados]]</f>
        <v>2047723272</v>
      </c>
      <c r="AX13" s="20">
        <f>+Tabla1[[#This Row],[Total Recursos Comprometido]]/Tabla1[[#This Row],[Total 2024]]</f>
        <v>0.88836881466637463</v>
      </c>
      <c r="AY13" s="17">
        <f>+Tabla1[[#This Row],[Total Recursos Obligados]]/Tabla1[[#This Row],[Total 2024]]</f>
        <v>0.48663719861663857</v>
      </c>
      <c r="AZ13" s="21">
        <f>+Tabla1[[#This Row],[Total Recursos Pagados]]/Tabla1[[#This Row],[Total 2024]]</f>
        <v>0.46520163602508036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110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116</v>
      </c>
      <c r="J14" s="87">
        <v>15000</v>
      </c>
      <c r="K14" s="29" t="s">
        <v>113</v>
      </c>
      <c r="L14" s="29" t="s">
        <v>121</v>
      </c>
      <c r="M14" s="86">
        <v>20000</v>
      </c>
      <c r="N14" s="42">
        <v>5000</v>
      </c>
      <c r="O14" s="45">
        <v>359</v>
      </c>
      <c r="P14" s="40">
        <f>+Tabla1[[#This Row],[Logro Vigencia]]/Tabla1[[#This Row],[Meta Programada Vigencia]]</f>
        <v>7.1800000000000003E-2</v>
      </c>
      <c r="Q14" s="53"/>
      <c r="R14" s="89">
        <f>+Tabla13[[#This Row],[Recursos propios]]</f>
        <v>815000000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7">
        <f>SUM(Tabla1[[#This Row],[Recursos propios]:[Recursos del Balance]])</f>
        <v>1108578510.4400001</v>
      </c>
      <c r="AG14" s="78">
        <f>+Tabla13[[#This Row],[Recursos propios ]]</f>
        <v>279397383.56</v>
      </c>
      <c r="AH14" s="15"/>
      <c r="AI14" s="15"/>
      <c r="AJ14" s="16">
        <f>+Tabla13[[#This Row],[SGP Deporte2]]</f>
        <v>146617935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136216552.44</v>
      </c>
      <c r="AU14" s="34">
        <f>SUM(Tabla1[[#This Row],[Recursos propios2]:[Recursos del Balance2]])</f>
        <v>562231871</v>
      </c>
      <c r="AV14" s="16">
        <f>+Tabla13[[#This Row],[Total Recursos Obligados]]</f>
        <v>228000000</v>
      </c>
      <c r="AW14" s="22">
        <f>+Tabla13[[#This Row],[Total Recursos Pagados]]</f>
        <v>228000000</v>
      </c>
      <c r="AX14" s="58">
        <f>+Tabla1[[#This Row],[Total Recursos Comprometido]]/Tabla1[[#This Row],[Total 2024]]</f>
        <v>0.50716468495934264</v>
      </c>
      <c r="AY14" s="18">
        <f>+Tabla1[[#This Row],[Total Recursos Obligados]]/Tabla1[[#This Row],[Total 2024]]</f>
        <v>0.20566878922224979</v>
      </c>
      <c r="AZ14" s="59">
        <f>+Tabla1[[#This Row],[Total Recursos Pagados]]/Tabla1[[#This Row],[Total 2024]]</f>
        <v>0.20566878922224979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117</v>
      </c>
      <c r="J15" s="29">
        <v>18</v>
      </c>
      <c r="K15" s="29" t="s">
        <v>113</v>
      </c>
      <c r="L15" s="29" t="s">
        <v>122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f>+Tabla13[[#This Row],[Recursos propios]]</f>
        <v>1348930450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288987489</v>
      </c>
      <c r="AE15" s="15">
        <f>+Tabla13[[#This Row],[Recursos del Balance]]</f>
        <v>2383266063.5599999</v>
      </c>
      <c r="AF15" s="57">
        <f>SUM(Tabla1[[#This Row],[Recursos propios]:[Recursos del Balance]])</f>
        <v>4021184002.5599999</v>
      </c>
      <c r="AG15" s="78">
        <f>+Tabla13[[#This Row],[Recursos propios ]]</f>
        <v>1210603390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>
        <f>+Tabla13[[#This Row],[Recursos del Balance2]]</f>
        <v>1659733707.9000001</v>
      </c>
      <c r="AU15" s="34">
        <f>SUM(Tabla1[[#This Row],[Recursos propios2]:[Recursos del Balance2]])</f>
        <v>2870337097.9000001</v>
      </c>
      <c r="AV15" s="16">
        <f>+Tabla13[[#This Row],[Total Recursos Obligados]]</f>
        <v>1505504783</v>
      </c>
      <c r="AW15" s="22">
        <f>+Tabla13[[#This Row],[Total Recursos Pagados]]</f>
        <v>1485704783</v>
      </c>
      <c r="AX15" s="19">
        <f>+Tabla1[[#This Row],[Total Recursos Comprometido]]/Tabla1[[#This Row],[Total 2024]]</f>
        <v>0.71380396820256475</v>
      </c>
      <c r="AY15" s="32">
        <f>+Tabla1[[#This Row],[Total Recursos Obligados]]/Tabla1[[#This Row],[Total 2024]]</f>
        <v>0.37439340802150634</v>
      </c>
      <c r="AZ15" s="33">
        <f>+Tabla1[[#This Row],[Total Recursos Pagados]]/Tabla1[[#This Row],[Total 2024]]</f>
        <v>0.36946948512034222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110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118</v>
      </c>
      <c r="J16" s="86">
        <v>80</v>
      </c>
      <c r="K16" s="28" t="s">
        <v>113</v>
      </c>
      <c r="L16" s="29" t="s">
        <v>121</v>
      </c>
      <c r="M16" s="86">
        <v>80</v>
      </c>
      <c r="N16" s="42">
        <v>20</v>
      </c>
      <c r="O16" s="45">
        <v>15</v>
      </c>
      <c r="P16" s="46">
        <f>+Tabla1[[#This Row],[Logro Vigencia]]/Tabla1[[#This Row],[Meta Programada Vigencia]]</f>
        <v>0.75</v>
      </c>
      <c r="Q16" s="55"/>
      <c r="R16" s="88">
        <f>+Tabla13[[#This Row],[Recursos propios]]</f>
        <v>1017322000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211863078</v>
      </c>
      <c r="AE16" s="16">
        <f>+Tabla13[[#This Row],[Recursos del Balance]]</f>
        <v>576738587.13</v>
      </c>
      <c r="AF16" s="57">
        <f>SUM(Tabla1[[#This Row],[Recursos propios]:[Recursos del Balance]])</f>
        <v>1805923665.1300001</v>
      </c>
      <c r="AG16" s="78">
        <f>+Tabla13[[#This Row],[Recursos propios ]]</f>
        <v>673422000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105863078</v>
      </c>
      <c r="AT16" s="16">
        <f>+Tabla13[[#This Row],[Recursos del Balance2]]</f>
        <v>412756667</v>
      </c>
      <c r="AU16" s="34">
        <f>SUM(Tabla1[[#This Row],[Recursos propios2]:[Recursos del Balance2]])</f>
        <v>1192041745</v>
      </c>
      <c r="AV16" s="16">
        <f>+Tabla13[[#This Row],[Total Recursos Obligados]]</f>
        <v>471606667</v>
      </c>
      <c r="AW16" s="22">
        <f>+Tabla13[[#This Row],[Total Recursos Pagados]]</f>
        <v>466106667</v>
      </c>
      <c r="AX16" s="20">
        <f>+Tabla1[[#This Row],[Total Recursos Comprometido]]/Tabla1[[#This Row],[Total 2024]]</f>
        <v>0.66007316256869053</v>
      </c>
      <c r="AY16" s="17">
        <f>+Tabla1[[#This Row],[Total Recursos Obligados]]/Tabla1[[#This Row],[Total 2024]]</f>
        <v>0.26114429757253954</v>
      </c>
      <c r="AZ16" s="21">
        <f>+Tabla1[[#This Row],[Total Recursos Pagados]]/Tabla1[[#This Row],[Total 2024]]</f>
        <v>0.25809876463767761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110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119</v>
      </c>
      <c r="J17" s="29">
        <v>6</v>
      </c>
      <c r="K17" s="29" t="s">
        <v>113</v>
      </c>
      <c r="L17" s="29" t="s">
        <v>121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43" t="s">
        <v>111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120</v>
      </c>
      <c r="J18" s="87">
        <v>0</v>
      </c>
      <c r="K18" s="29" t="s">
        <v>113</v>
      </c>
      <c r="L18" s="29" t="s">
        <v>121</v>
      </c>
      <c r="M18" s="87">
        <v>9</v>
      </c>
      <c r="N18" s="38">
        <v>2</v>
      </c>
      <c r="O18" s="39">
        <v>1.76</v>
      </c>
      <c r="P18" s="40">
        <f>+Tabla1[[#This Row],[Logro Vigencia]]/Tabla1[[#This Row],[Meta Programada Vigencia]]</f>
        <v>0.88</v>
      </c>
      <c r="Q18" s="53"/>
      <c r="R18" s="78">
        <f>+Tabla13[[#This Row],[Recursos propios]]</f>
        <v>458890354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624575000</v>
      </c>
      <c r="AG18" s="78">
        <f>+Tabla13[[#This Row],[Recursos propios ]]</f>
        <v>200220000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104200000</v>
      </c>
      <c r="AU18" s="34">
        <f>SUM(Tabla1[[#This Row],[Recursos propios2]:[Recursos del Balance2]])</f>
        <v>304420000</v>
      </c>
      <c r="AV18" s="16">
        <f>+Tabla13[[#This Row],[Total Recursos Obligados]]</f>
        <v>197520000</v>
      </c>
      <c r="AW18" s="22">
        <f>+Tabla13[[#This Row],[Total Recursos Pagados]]</f>
        <v>197520000</v>
      </c>
      <c r="AX18" s="58">
        <f>+Tabla1[[#This Row],[Total Recursos Comprometido]]/Tabla1[[#This Row],[Total 2024]]</f>
        <v>0.48740343433534805</v>
      </c>
      <c r="AY18" s="18">
        <f>+Tabla1[[#This Row],[Total Recursos Obligados]]/Tabla1[[#This Row],[Total 2024]]</f>
        <v>0.31624704799263498</v>
      </c>
      <c r="AZ18" s="59">
        <f>+Tabla1[[#This Row],[Total Recursos Pagados]]/Tabla1[[#This Row],[Total 2024]]</f>
        <v>0.31624704799263498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110</v>
      </c>
      <c r="BE18" s="43" t="s">
        <v>111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>
        <f>+AVERAGE(Tabla1[Porcentaje Avance Vigencia])</f>
        <v>0.65392554945054948</v>
      </c>
      <c r="Q19" s="94"/>
      <c r="R19" s="96">
        <f>SUBTOTAL(109,Tabla1[Recursos propios])</f>
        <v>4962903575</v>
      </c>
      <c r="S19" s="97"/>
      <c r="T19" s="98"/>
      <c r="U19" s="97">
        <f>SUBTOTAL(109,Tabla1[SGP Deporte])</f>
        <v>3063796684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5644990868.3100004</v>
      </c>
      <c r="AF19" s="97">
        <f>SUBTOTAL(109,Tabla1[Total 2024])</f>
        <v>14485009319.310001</v>
      </c>
      <c r="AG19" s="111">
        <f>SUBTOTAL(109,Tabla1[Recursos propios2])</f>
        <v>3233594676.71</v>
      </c>
      <c r="AH19" s="98"/>
      <c r="AI19" s="98"/>
      <c r="AJ19" s="97">
        <f>SUBTOTAL(109,Tabla1[[SGP Deporte ]])</f>
        <v>2992881267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205863078</v>
      </c>
      <c r="AT19" s="97">
        <f>SUBTOTAL(109,Tabla1[Recursos del Balance2])</f>
        <v>4074089409.8000002</v>
      </c>
      <c r="AU19" s="99">
        <f>SUBTOTAL(109,Tabla1[Total Recursos Comprometido])</f>
        <v>10506428431.51</v>
      </c>
      <c r="AV19" s="97">
        <f>SUBTOTAL(109,Tabla1[Total Recursos Obligados])</f>
        <v>5514883053</v>
      </c>
      <c r="AW19" s="97">
        <f>SUBTOTAL(109,Tabla1[Total Recursos Pagados])</f>
        <v>5325548053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R20" s="113">
        <v>4962903575</v>
      </c>
      <c r="AE20" s="106">
        <v>5644990868.3100004</v>
      </c>
      <c r="AF20" s="106">
        <v>14485009319.310001</v>
      </c>
      <c r="AG20" s="106">
        <v>3233594676.71</v>
      </c>
      <c r="AJ20" s="106">
        <v>2992881267</v>
      </c>
      <c r="AS20" s="106">
        <v>205863078</v>
      </c>
      <c r="AT20" s="106">
        <v>4074089409.8000002</v>
      </c>
      <c r="AU20" s="106">
        <v>10506428431.51</v>
      </c>
      <c r="AV20" s="106">
        <v>5514883053</v>
      </c>
      <c r="AW20" s="106">
        <v>5325548053</v>
      </c>
    </row>
    <row r="21" spans="1:57" x14ac:dyDescent="0.2">
      <c r="R21" s="107">
        <f>+Tabla1[[#Totals],[Recursos propios]]-R20</f>
        <v>0</v>
      </c>
      <c r="AE21" s="107">
        <f>+Tabla1[[#Totals],[Recursos del Balance]]-AE20</f>
        <v>0</v>
      </c>
      <c r="AF21" s="107">
        <f>+Tabla1[[#Totals],[Total 2024]]-AF20</f>
        <v>0</v>
      </c>
      <c r="AG21" s="107">
        <f>+Tabla1[[#Totals],[Recursos propios2]]-AG20</f>
        <v>0</v>
      </c>
      <c r="AJ21" s="107">
        <f>+Tabla1[[#Totals],[SGP Deporte ]]-AJ20</f>
        <v>0</v>
      </c>
      <c r="AS21" s="107">
        <f>+Tabla1[[#Totals],[Otros ]]-AS20</f>
        <v>0</v>
      </c>
      <c r="AT21" s="107">
        <f>+Tabla1[[#Totals],[Recursos del Balance2]]-AT20</f>
        <v>0</v>
      </c>
      <c r="AU21" s="107">
        <f>+Tabla1[[#Totals],[Total Recursos Comprometido]]-AU20</f>
        <v>0</v>
      </c>
      <c r="AV21" s="107">
        <f>+Tabla1[[#Totals],[Total Recursos Obligados]]-AV20</f>
        <v>0</v>
      </c>
      <c r="AW21" s="107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2025-10-07T14:51:05Z</dcterms:modified>
</cp:coreProperties>
</file>